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 LIEU\Nam 2024\Tai chinh\Cong bo cong khai\"/>
    </mc:Choice>
  </mc:AlternateContent>
  <bookViews>
    <workbookView xWindow="0" yWindow="0" windowWidth="23040" windowHeight="8592" firstSheet="7" activeTab="10"/>
  </bookViews>
  <sheets>
    <sheet name="Biểu số 81 CK-NSNN" sheetId="19" r:id="rId1"/>
    <sheet name="Biểu số 82 CK-NSNN" sheetId="18" r:id="rId2"/>
    <sheet name="Biểu số 83 CK-NSNN" sheetId="17" r:id="rId3"/>
    <sheet name="Biểu số 84 CK-NSNN" sheetId="16" r:id="rId4"/>
    <sheet name="Biểu số 85 CK-NSNN" sheetId="15" r:id="rId5"/>
    <sheet name="Biểu số 86 CK-NSNN" sheetId="14" r:id="rId6"/>
    <sheet name="Biểu số 87 CK-XDCB" sheetId="13" r:id="rId7"/>
    <sheet name="Biểu số 88 CK-NSNN- HCSN" sheetId="12" r:id="rId8"/>
    <sheet name="Biểu số 89 CK-NSNN-NSX" sheetId="11" r:id="rId9"/>
    <sheet name="Biểu số 90 CK-NSNN-NSX" sheetId="29" r:id="rId10"/>
    <sheet name="Biêu số 92 CK-NSNN" sheetId="30" r:id="rId11"/>
  </sheets>
  <definedNames>
    <definedName name="_xlnm.Print_Titles" localSheetId="5">'Biểu số 86 CK-NSNN'!$9:$11</definedName>
    <definedName name="_xlnm.Print_Titles" localSheetId="7">'Biểu số 88 CK-NSNN- HCSN'!$7:$10</definedName>
    <definedName name="_xlnm.Print_Titles" localSheetId="8">'Biểu số 89 CK-NSNN-NSX'!$8:$10</definedName>
  </definedNames>
  <calcPr calcId="152511" fullCalcOnLoad="1"/>
</workbook>
</file>

<file path=xl/calcChain.xml><?xml version="1.0" encoding="utf-8"?>
<calcChain xmlns="http://schemas.openxmlformats.org/spreadsheetml/2006/main">
  <c r="C24" i="13" l="1"/>
  <c r="C23" i="13"/>
  <c r="C22" i="13"/>
  <c r="C21" i="13"/>
  <c r="C20" i="13"/>
  <c r="C19" i="13"/>
  <c r="C18" i="13"/>
  <c r="C17" i="13"/>
  <c r="C16" i="13"/>
  <c r="C15" i="13"/>
  <c r="C14" i="13"/>
  <c r="C13" i="13"/>
  <c r="N12" i="13"/>
  <c r="L12" i="13"/>
  <c r="L11" i="13"/>
  <c r="D12" i="13"/>
  <c r="D11" i="13" s="1"/>
  <c r="C11" i="13" s="1"/>
  <c r="C12" i="13"/>
  <c r="P11" i="13"/>
  <c r="O11" i="13"/>
  <c r="N11" i="13"/>
  <c r="M11" i="13"/>
  <c r="K11" i="13"/>
  <c r="J11" i="13"/>
  <c r="I11" i="13"/>
  <c r="H11" i="13"/>
  <c r="G11" i="13"/>
  <c r="F11" i="13"/>
  <c r="E11" i="13"/>
  <c r="T144" i="30"/>
  <c r="P144" i="30"/>
  <c r="L144" i="30"/>
  <c r="W143" i="30"/>
  <c r="S143" i="30"/>
  <c r="S141" i="30" s="1"/>
  <c r="P141" i="30" s="1"/>
  <c r="L143" i="30"/>
  <c r="P142" i="30"/>
  <c r="L142" i="30"/>
  <c r="L141" i="30"/>
  <c r="T140" i="30"/>
  <c r="P140" i="30"/>
  <c r="L140" i="30"/>
  <c r="T139" i="30"/>
  <c r="P139" i="30"/>
  <c r="L139" i="30"/>
  <c r="T138" i="30"/>
  <c r="P138" i="30"/>
  <c r="L138" i="30"/>
  <c r="T137" i="30"/>
  <c r="P137" i="30"/>
  <c r="L137" i="30"/>
  <c r="T136" i="30"/>
  <c r="P136" i="30"/>
  <c r="L136" i="30"/>
  <c r="T135" i="30"/>
  <c r="P135" i="30"/>
  <c r="L135" i="30"/>
  <c r="T134" i="30"/>
  <c r="P134" i="30"/>
  <c r="L134" i="30"/>
  <c r="W133" i="30"/>
  <c r="T133" i="30" s="1"/>
  <c r="S133" i="30"/>
  <c r="P133" i="30"/>
  <c r="L133" i="30"/>
  <c r="T132" i="30"/>
  <c r="P132" i="30"/>
  <c r="L132" i="30"/>
  <c r="T131" i="30"/>
  <c r="P131" i="30"/>
  <c r="L131" i="30"/>
  <c r="T130" i="30"/>
  <c r="P130" i="30"/>
  <c r="L130" i="30"/>
  <c r="T129" i="30"/>
  <c r="P129" i="30"/>
  <c r="L129" i="30"/>
  <c r="W128" i="30"/>
  <c r="S128" i="30"/>
  <c r="P128" i="30" s="1"/>
  <c r="L128" i="30"/>
  <c r="L127" i="30"/>
  <c r="O126" i="30"/>
  <c r="L126" i="30" s="1"/>
  <c r="T125" i="30"/>
  <c r="P125" i="30"/>
  <c r="L125" i="30"/>
  <c r="W124" i="30"/>
  <c r="W123" i="30" s="1"/>
  <c r="T123" i="30" s="1"/>
  <c r="S124" i="30"/>
  <c r="S123" i="30" s="1"/>
  <c r="P123" i="30" s="1"/>
  <c r="L124" i="30"/>
  <c r="L123" i="30"/>
  <c r="T122" i="30"/>
  <c r="P122" i="30"/>
  <c r="L122" i="30"/>
  <c r="T121" i="30"/>
  <c r="P121" i="30"/>
  <c r="L121" i="30"/>
  <c r="T120" i="30"/>
  <c r="P120" i="30"/>
  <c r="L120" i="30"/>
  <c r="T119" i="30"/>
  <c r="P119" i="30"/>
  <c r="L119" i="30"/>
  <c r="T118" i="30"/>
  <c r="P118" i="30"/>
  <c r="L118" i="30"/>
  <c r="T117" i="30"/>
  <c r="P117" i="30"/>
  <c r="L117" i="30"/>
  <c r="T116" i="30"/>
  <c r="P116" i="30"/>
  <c r="L116" i="30"/>
  <c r="T115" i="30"/>
  <c r="P115" i="30"/>
  <c r="L115" i="30"/>
  <c r="T114" i="30"/>
  <c r="P114" i="30"/>
  <c r="L114" i="30"/>
  <c r="W113" i="30"/>
  <c r="T113" i="30" s="1"/>
  <c r="S113" i="30"/>
  <c r="P113" i="30" s="1"/>
  <c r="L113" i="30"/>
  <c r="T112" i="30"/>
  <c r="P112" i="30"/>
  <c r="L112" i="30"/>
  <c r="T111" i="30"/>
  <c r="S111" i="30"/>
  <c r="P111" i="30" s="1"/>
  <c r="L111" i="30"/>
  <c r="W110" i="30"/>
  <c r="T110" i="30" s="1"/>
  <c r="L110" i="30"/>
  <c r="T109" i="30"/>
  <c r="P109" i="30"/>
  <c r="L109" i="30"/>
  <c r="T108" i="30"/>
  <c r="P108" i="30"/>
  <c r="O108" i="30"/>
  <c r="L108" i="30" s="1"/>
  <c r="W107" i="30"/>
  <c r="S107" i="30"/>
  <c r="L106" i="30"/>
  <c r="L105" i="30"/>
  <c r="T104" i="30"/>
  <c r="P104" i="30"/>
  <c r="L104" i="30"/>
  <c r="T103" i="30"/>
  <c r="P103" i="30"/>
  <c r="L103" i="30"/>
  <c r="T102" i="30"/>
  <c r="P102" i="30"/>
  <c r="L102" i="30"/>
  <c r="T101" i="30"/>
  <c r="P101" i="30"/>
  <c r="L101" i="30"/>
  <c r="T100" i="30"/>
  <c r="P100" i="30"/>
  <c r="L100" i="30"/>
  <c r="T99" i="30"/>
  <c r="P99" i="30"/>
  <c r="L99" i="30"/>
  <c r="T98" i="30"/>
  <c r="P98" i="30"/>
  <c r="L98" i="30"/>
  <c r="T97" i="30"/>
  <c r="P97" i="30"/>
  <c r="O97" i="30"/>
  <c r="O96" i="30" s="1"/>
  <c r="L96" i="30" s="1"/>
  <c r="L97" i="30"/>
  <c r="W96" i="30"/>
  <c r="T96" i="30" s="1"/>
  <c r="S96" i="30"/>
  <c r="P96" i="30" s="1"/>
  <c r="T95" i="30"/>
  <c r="P95" i="30"/>
  <c r="O95" i="30"/>
  <c r="L95" i="30"/>
  <c r="W94" i="30"/>
  <c r="T94" i="30" s="1"/>
  <c r="S94" i="30"/>
  <c r="P94" i="30" s="1"/>
  <c r="O94" i="30"/>
  <c r="L94" i="30" s="1"/>
  <c r="T93" i="30"/>
  <c r="P93" i="30"/>
  <c r="L93" i="30"/>
  <c r="T92" i="30"/>
  <c r="S92" i="30"/>
  <c r="P92" i="30"/>
  <c r="O92" i="30"/>
  <c r="L92" i="30" s="1"/>
  <c r="T91" i="30"/>
  <c r="P91" i="30"/>
  <c r="O91" i="30"/>
  <c r="O90" i="30" s="1"/>
  <c r="W90" i="30"/>
  <c r="T90" i="30" s="1"/>
  <c r="S90" i="30"/>
  <c r="S89" i="30" s="1"/>
  <c r="T87" i="30"/>
  <c r="P87" i="30"/>
  <c r="L87" i="30"/>
  <c r="T86" i="30"/>
  <c r="P86" i="30"/>
  <c r="L86" i="30"/>
  <c r="T85" i="30"/>
  <c r="P85" i="30"/>
  <c r="L85" i="30"/>
  <c r="T84" i="30"/>
  <c r="P84" i="30"/>
  <c r="L84" i="30"/>
  <c r="W83" i="30"/>
  <c r="T83" i="30" s="1"/>
  <c r="S83" i="30"/>
  <c r="P83" i="30" s="1"/>
  <c r="O83" i="30"/>
  <c r="L83" i="30" s="1"/>
  <c r="T82" i="30"/>
  <c r="P82" i="30"/>
  <c r="L82" i="30"/>
  <c r="T81" i="30"/>
  <c r="P81" i="30"/>
  <c r="O81" i="30"/>
  <c r="L81" i="30" s="1"/>
  <c r="W80" i="30"/>
  <c r="T80" i="30" s="1"/>
  <c r="S80" i="30"/>
  <c r="P80" i="30" s="1"/>
  <c r="T79" i="30"/>
  <c r="P79" i="30"/>
  <c r="L79" i="30"/>
  <c r="W78" i="30"/>
  <c r="T78" i="30"/>
  <c r="P78" i="30"/>
  <c r="L78" i="30"/>
  <c r="T77" i="30"/>
  <c r="P77" i="30"/>
  <c r="O77" i="30"/>
  <c r="L77" i="30" s="1"/>
  <c r="W76" i="30"/>
  <c r="T76" i="30" s="1"/>
  <c r="S76" i="30"/>
  <c r="S75" i="30"/>
  <c r="P75" i="30" s="1"/>
  <c r="P76" i="30"/>
  <c r="T73" i="30"/>
  <c r="P73" i="30"/>
  <c r="L73" i="30"/>
  <c r="T72" i="30"/>
  <c r="P72" i="30"/>
  <c r="L72" i="30"/>
  <c r="T71" i="30"/>
  <c r="P71" i="30"/>
  <c r="L71" i="30"/>
  <c r="T70" i="30"/>
  <c r="P70" i="30"/>
  <c r="L70" i="30"/>
  <c r="T69" i="30"/>
  <c r="P69" i="30"/>
  <c r="L69" i="30"/>
  <c r="W68" i="30"/>
  <c r="T68" i="30"/>
  <c r="S68" i="30"/>
  <c r="P68" i="30" s="1"/>
  <c r="O68" i="30"/>
  <c r="L68" i="30" s="1"/>
  <c r="T67" i="30"/>
  <c r="P67" i="30"/>
  <c r="O67" i="30"/>
  <c r="L67" i="30" s="1"/>
  <c r="T66" i="30"/>
  <c r="P66" i="30"/>
  <c r="L66" i="30"/>
  <c r="T65" i="30"/>
  <c r="P65" i="30"/>
  <c r="O65" i="30"/>
  <c r="L65" i="30" s="1"/>
  <c r="T64" i="30"/>
  <c r="P64" i="30"/>
  <c r="O64" i="30"/>
  <c r="L64" i="30" s="1"/>
  <c r="W63" i="30"/>
  <c r="T63" i="30"/>
  <c r="S63" i="30"/>
  <c r="P63" i="30"/>
  <c r="O63" i="30"/>
  <c r="L63" i="30" s="1"/>
  <c r="T62" i="30"/>
  <c r="P62" i="30"/>
  <c r="L62" i="30"/>
  <c r="W61" i="30"/>
  <c r="T61" i="30" s="1"/>
  <c r="S61" i="30"/>
  <c r="P61" i="30" s="1"/>
  <c r="O61" i="30"/>
  <c r="L61" i="30" s="1"/>
  <c r="T60" i="30"/>
  <c r="P60" i="30"/>
  <c r="O60" i="30"/>
  <c r="L60" i="30" s="1"/>
  <c r="T59" i="30"/>
  <c r="P59" i="30"/>
  <c r="O59" i="30"/>
  <c r="O58" i="30" s="1"/>
  <c r="W58" i="30"/>
  <c r="T58" i="30" s="1"/>
  <c r="S58" i="30"/>
  <c r="P58" i="30" s="1"/>
  <c r="T55" i="30"/>
  <c r="P55" i="30"/>
  <c r="L55" i="30"/>
  <c r="T53" i="30"/>
  <c r="P53" i="30"/>
  <c r="L53" i="30"/>
  <c r="W52" i="30"/>
  <c r="T52" i="30" s="1"/>
  <c r="S52" i="30"/>
  <c r="P52" i="30" s="1"/>
  <c r="O52" i="30"/>
  <c r="L52" i="30" s="1"/>
  <c r="T51" i="30"/>
  <c r="P51" i="30"/>
  <c r="O51" i="30"/>
  <c r="L51" i="30" s="1"/>
  <c r="T50" i="30"/>
  <c r="P50" i="30"/>
  <c r="O50" i="30"/>
  <c r="L50" i="30"/>
  <c r="T49" i="30"/>
  <c r="P49" i="30"/>
  <c r="O49" i="30"/>
  <c r="L49" i="30" s="1"/>
  <c r="T48" i="30"/>
  <c r="P48" i="30"/>
  <c r="O48" i="30"/>
  <c r="L48" i="30" s="1"/>
  <c r="T47" i="30"/>
  <c r="P47" i="30"/>
  <c r="O47" i="30"/>
  <c r="L47" i="30"/>
  <c r="T46" i="30"/>
  <c r="P46" i="30"/>
  <c r="O46" i="30"/>
  <c r="L46" i="30" s="1"/>
  <c r="T45" i="30"/>
  <c r="P45" i="30"/>
  <c r="O45" i="30"/>
  <c r="L45" i="30" s="1"/>
  <c r="W44" i="30"/>
  <c r="T44" i="30" s="1"/>
  <c r="S44" i="30"/>
  <c r="S43" i="30" s="1"/>
  <c r="P44" i="30"/>
  <c r="T40" i="30"/>
  <c r="P40" i="30"/>
  <c r="O40" i="30"/>
  <c r="O39" i="30" s="1"/>
  <c r="L39" i="30" s="1"/>
  <c r="W39" i="30"/>
  <c r="T39" i="30" s="1"/>
  <c r="S39" i="30"/>
  <c r="P39" i="30"/>
  <c r="T38" i="30"/>
  <c r="P38" i="30"/>
  <c r="L38" i="30"/>
  <c r="T37" i="30"/>
  <c r="S37" i="30"/>
  <c r="S36" i="30" s="1"/>
  <c r="O37" i="30"/>
  <c r="L37" i="30" s="1"/>
  <c r="W36" i="30"/>
  <c r="T36" i="30"/>
  <c r="O36" i="30"/>
  <c r="L36" i="30" s="1"/>
  <c r="W35" i="30"/>
  <c r="T35" i="30" s="1"/>
  <c r="T33" i="30"/>
  <c r="P33" i="30"/>
  <c r="O33" i="30"/>
  <c r="T32" i="30"/>
  <c r="P32" i="30"/>
  <c r="L32" i="30"/>
  <c r="W31" i="30"/>
  <c r="T31" i="30" s="1"/>
  <c r="S31" i="30"/>
  <c r="P31" i="30"/>
  <c r="T30" i="30"/>
  <c r="P30" i="30"/>
  <c r="L30" i="30"/>
  <c r="T29" i="30"/>
  <c r="P29" i="30"/>
  <c r="O29" i="30"/>
  <c r="O28" i="30" s="1"/>
  <c r="W28" i="30"/>
  <c r="W27" i="30" s="1"/>
  <c r="S28" i="30"/>
  <c r="P28" i="30" s="1"/>
  <c r="S27" i="30"/>
  <c r="P27" i="30" s="1"/>
  <c r="T25" i="30"/>
  <c r="P25" i="30"/>
  <c r="L25" i="30"/>
  <c r="T24" i="30"/>
  <c r="P24" i="30"/>
  <c r="O24" i="30"/>
  <c r="L24" i="30"/>
  <c r="T23" i="30"/>
  <c r="P23" i="30"/>
  <c r="O23" i="30"/>
  <c r="L23" i="30" s="1"/>
  <c r="T22" i="30"/>
  <c r="P22" i="30"/>
  <c r="O22" i="30"/>
  <c r="L22" i="30" s="1"/>
  <c r="W21" i="30"/>
  <c r="T21" i="30"/>
  <c r="S21" i="30"/>
  <c r="P21" i="30"/>
  <c r="O21" i="30"/>
  <c r="L21" i="30" s="1"/>
  <c r="T20" i="30"/>
  <c r="P20" i="30"/>
  <c r="O20" i="30"/>
  <c r="L20" i="30" s="1"/>
  <c r="W19" i="30"/>
  <c r="T19" i="30"/>
  <c r="S19" i="30"/>
  <c r="P19" i="30"/>
  <c r="T18" i="30"/>
  <c r="P18" i="30"/>
  <c r="O18" i="30"/>
  <c r="L18" i="30" s="1"/>
  <c r="T17" i="30"/>
  <c r="P17" i="30"/>
  <c r="O17" i="30"/>
  <c r="L17" i="30" s="1"/>
  <c r="T16" i="30"/>
  <c r="P16" i="30"/>
  <c r="O16" i="30"/>
  <c r="L16" i="30"/>
  <c r="T15" i="30"/>
  <c r="P15" i="30"/>
  <c r="O15" i="30"/>
  <c r="O14" i="30" s="1"/>
  <c r="W14" i="30"/>
  <c r="T14" i="30" s="1"/>
  <c r="S14" i="30"/>
  <c r="P14" i="30" s="1"/>
  <c r="K10" i="30"/>
  <c r="J10" i="30"/>
  <c r="I10" i="30"/>
  <c r="H10" i="30"/>
  <c r="E14" i="11"/>
  <c r="F14" i="11"/>
  <c r="E13" i="11"/>
  <c r="F13" i="11"/>
  <c r="E20" i="11"/>
  <c r="F20" i="11"/>
  <c r="D20" i="11" s="1"/>
  <c r="E42" i="11"/>
  <c r="F42" i="11"/>
  <c r="E41" i="11"/>
  <c r="D41" i="11" s="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E12" i="11" s="1"/>
  <c r="F29" i="11"/>
  <c r="E28" i="11"/>
  <c r="F28" i="11"/>
  <c r="E27" i="11"/>
  <c r="F27" i="11"/>
  <c r="E26" i="11"/>
  <c r="F26" i="11"/>
  <c r="E25" i="11"/>
  <c r="F25" i="11"/>
  <c r="E24" i="11"/>
  <c r="F24" i="11"/>
  <c r="D24" i="11" s="1"/>
  <c r="E23" i="11"/>
  <c r="F23" i="11"/>
  <c r="E22" i="11"/>
  <c r="F22" i="11"/>
  <c r="E21" i="11"/>
  <c r="F21" i="11"/>
  <c r="E19" i="11"/>
  <c r="F19" i="11"/>
  <c r="E18" i="11"/>
  <c r="F18" i="11"/>
  <c r="E17" i="11"/>
  <c r="F17" i="11"/>
  <c r="D17" i="11" s="1"/>
  <c r="E16" i="11"/>
  <c r="D16" i="11" s="1"/>
  <c r="E15" i="11"/>
  <c r="D15" i="11" s="1"/>
  <c r="F16" i="11"/>
  <c r="F15" i="11"/>
  <c r="F198" i="12"/>
  <c r="F189" i="14"/>
  <c r="F149" i="14"/>
  <c r="G162" i="12"/>
  <c r="G191" i="12"/>
  <c r="J157" i="12"/>
  <c r="K154" i="12"/>
  <c r="C154" i="12" s="1"/>
  <c r="K157" i="12"/>
  <c r="K163" i="12"/>
  <c r="P154" i="12"/>
  <c r="Q166" i="12"/>
  <c r="Q162" i="12"/>
  <c r="Q156" i="12"/>
  <c r="Q155" i="12"/>
  <c r="Q160" i="12"/>
  <c r="Q163" i="12"/>
  <c r="Q159" i="12"/>
  <c r="Q157" i="12"/>
  <c r="Q164" i="12"/>
  <c r="C164" i="12" s="1"/>
  <c r="Q149" i="12"/>
  <c r="Q148" i="12" s="1"/>
  <c r="Q147" i="12" s="1"/>
  <c r="Q158" i="12"/>
  <c r="Q154" i="12"/>
  <c r="Q167" i="12"/>
  <c r="Q168" i="12"/>
  <c r="F166" i="14"/>
  <c r="F184" i="14"/>
  <c r="F157" i="14"/>
  <c r="F155" i="14"/>
  <c r="F159" i="14"/>
  <c r="F152" i="14"/>
  <c r="C152" i="14" s="1"/>
  <c r="F158" i="14"/>
  <c r="F178" i="14"/>
  <c r="F175" i="14"/>
  <c r="F173" i="14"/>
  <c r="F171" i="14"/>
  <c r="F169" i="14"/>
  <c r="F167" i="14"/>
  <c r="F160" i="14"/>
  <c r="F151" i="14"/>
  <c r="F150" i="14"/>
  <c r="F154" i="14"/>
  <c r="F148" i="14"/>
  <c r="F147" i="14" s="1"/>
  <c r="F161" i="14"/>
  <c r="F145" i="14"/>
  <c r="C145" i="14" s="1"/>
  <c r="F139" i="14"/>
  <c r="F138" i="14"/>
  <c r="C138" i="14"/>
  <c r="F137" i="14"/>
  <c r="C137" i="14"/>
  <c r="F136" i="14"/>
  <c r="C136" i="14"/>
  <c r="F135" i="14"/>
  <c r="F134" i="14"/>
  <c r="C134" i="14" s="1"/>
  <c r="F133" i="14"/>
  <c r="C133" i="14" s="1"/>
  <c r="F132" i="14"/>
  <c r="C132" i="14" s="1"/>
  <c r="F131" i="14"/>
  <c r="F130" i="14"/>
  <c r="C130" i="14"/>
  <c r="F129" i="14"/>
  <c r="C129" i="14"/>
  <c r="F128" i="14"/>
  <c r="C128" i="14"/>
  <c r="F127" i="14"/>
  <c r="F126" i="14"/>
  <c r="C126" i="14" s="1"/>
  <c r="F125" i="14"/>
  <c r="C125" i="14" s="1"/>
  <c r="F124" i="14"/>
  <c r="C124" i="14"/>
  <c r="F123" i="14"/>
  <c r="F122" i="14"/>
  <c r="C122" i="14"/>
  <c r="F121" i="14"/>
  <c r="C121" i="14"/>
  <c r="F120" i="14"/>
  <c r="C120" i="14" s="1"/>
  <c r="F119" i="14"/>
  <c r="F118" i="14"/>
  <c r="C118" i="14" s="1"/>
  <c r="F117" i="14"/>
  <c r="C117" i="14"/>
  <c r="F116" i="14"/>
  <c r="C116" i="14"/>
  <c r="F115" i="14"/>
  <c r="F114" i="14"/>
  <c r="C114" i="14"/>
  <c r="F113" i="14"/>
  <c r="C113" i="14" s="1"/>
  <c r="F112" i="14"/>
  <c r="C112" i="14" s="1"/>
  <c r="F111" i="14"/>
  <c r="F110" i="14"/>
  <c r="C110" i="14"/>
  <c r="F109" i="14"/>
  <c r="C109" i="14"/>
  <c r="F108" i="14"/>
  <c r="C108" i="14"/>
  <c r="F107" i="14"/>
  <c r="C107" i="14" s="1"/>
  <c r="F106" i="14"/>
  <c r="C106" i="14" s="1"/>
  <c r="F104" i="14"/>
  <c r="C104" i="14" s="1"/>
  <c r="F103" i="14"/>
  <c r="C103" i="14"/>
  <c r="F102" i="14"/>
  <c r="F101" i="14"/>
  <c r="C101" i="14"/>
  <c r="F100" i="14"/>
  <c r="C100" i="14"/>
  <c r="F99" i="14"/>
  <c r="C99" i="14" s="1"/>
  <c r="F98" i="14"/>
  <c r="F97" i="14"/>
  <c r="C97" i="14" s="1"/>
  <c r="F96" i="14"/>
  <c r="C96" i="14"/>
  <c r="F95" i="14"/>
  <c r="C95" i="14" s="1"/>
  <c r="F94" i="14"/>
  <c r="F93" i="14"/>
  <c r="C93" i="14"/>
  <c r="F92" i="14"/>
  <c r="C92" i="14" s="1"/>
  <c r="F91" i="14"/>
  <c r="C91" i="14" s="1"/>
  <c r="F90" i="14"/>
  <c r="F89" i="14"/>
  <c r="C89" i="14"/>
  <c r="F88" i="14"/>
  <c r="C88" i="14" s="1"/>
  <c r="F87" i="14"/>
  <c r="C87" i="14" s="1"/>
  <c r="F86" i="14"/>
  <c r="F85" i="14"/>
  <c r="C85" i="14" s="1"/>
  <c r="F84" i="14"/>
  <c r="C84" i="14" s="1"/>
  <c r="F83" i="14"/>
  <c r="C83" i="14" s="1"/>
  <c r="F82" i="14"/>
  <c r="F81" i="14"/>
  <c r="C81" i="14"/>
  <c r="F80" i="14"/>
  <c r="C80" i="14"/>
  <c r="F79" i="14"/>
  <c r="C79" i="14"/>
  <c r="F78" i="14"/>
  <c r="F77" i="14"/>
  <c r="C77" i="14" s="1"/>
  <c r="F76" i="14"/>
  <c r="C76" i="14" s="1"/>
  <c r="F75" i="14"/>
  <c r="C75" i="14"/>
  <c r="F74" i="14"/>
  <c r="F73" i="14"/>
  <c r="C73" i="14"/>
  <c r="F72" i="14"/>
  <c r="C72" i="14"/>
  <c r="F71" i="14"/>
  <c r="C71" i="14" s="1"/>
  <c r="F70" i="14"/>
  <c r="F69" i="14"/>
  <c r="C69" i="14" s="1"/>
  <c r="F68" i="14"/>
  <c r="C68" i="14"/>
  <c r="F67" i="14"/>
  <c r="C67" i="14"/>
  <c r="F66" i="14"/>
  <c r="F65" i="14"/>
  <c r="C65" i="14"/>
  <c r="F64" i="14"/>
  <c r="C64" i="14" s="1"/>
  <c r="F63" i="14"/>
  <c r="C63" i="14" s="1"/>
  <c r="F62" i="14"/>
  <c r="F61" i="14"/>
  <c r="C61" i="14"/>
  <c r="F60" i="14"/>
  <c r="C60" i="14"/>
  <c r="F59" i="14"/>
  <c r="C59" i="14" s="1"/>
  <c r="F58" i="14"/>
  <c r="C58" i="14" s="1"/>
  <c r="F57" i="14"/>
  <c r="C57" i="14" s="1"/>
  <c r="F56" i="14"/>
  <c r="C56" i="14" s="1"/>
  <c r="F55" i="14"/>
  <c r="C55" i="14"/>
  <c r="F54" i="14"/>
  <c r="F53" i="14"/>
  <c r="C53" i="14"/>
  <c r="F52" i="14"/>
  <c r="C52" i="14"/>
  <c r="F51" i="14"/>
  <c r="C51" i="14" s="1"/>
  <c r="F49" i="14"/>
  <c r="F48" i="14"/>
  <c r="F47" i="14"/>
  <c r="C47" i="14" s="1"/>
  <c r="F46" i="14"/>
  <c r="C46" i="14"/>
  <c r="F45" i="14"/>
  <c r="F44" i="14"/>
  <c r="F43" i="14"/>
  <c r="C43" i="14"/>
  <c r="F42" i="14"/>
  <c r="C42" i="14" s="1"/>
  <c r="F41" i="14"/>
  <c r="F40" i="14"/>
  <c r="F39" i="14"/>
  <c r="C39" i="14" s="1"/>
  <c r="F38" i="14"/>
  <c r="C38" i="14"/>
  <c r="F37" i="14"/>
  <c r="F36" i="14"/>
  <c r="F35" i="14"/>
  <c r="C35" i="14"/>
  <c r="F34" i="14"/>
  <c r="C34" i="14" s="1"/>
  <c r="F33" i="14"/>
  <c r="F32" i="14"/>
  <c r="F31" i="14"/>
  <c r="C31" i="14" s="1"/>
  <c r="F30" i="14"/>
  <c r="C30" i="14"/>
  <c r="F29" i="14"/>
  <c r="F28" i="14"/>
  <c r="F27" i="14"/>
  <c r="C27" i="14"/>
  <c r="F26" i="14"/>
  <c r="C26" i="14" s="1"/>
  <c r="F25" i="14"/>
  <c r="F24" i="14"/>
  <c r="F23" i="14"/>
  <c r="C23" i="14" s="1"/>
  <c r="F22" i="14"/>
  <c r="C22" i="14"/>
  <c r="F21" i="14"/>
  <c r="F20" i="14"/>
  <c r="F19" i="14"/>
  <c r="C19" i="14"/>
  <c r="F18" i="14"/>
  <c r="F15" i="14" s="1"/>
  <c r="F17" i="14"/>
  <c r="F16" i="14"/>
  <c r="C43" i="15"/>
  <c r="C9" i="18"/>
  <c r="C144" i="12"/>
  <c r="G189" i="12"/>
  <c r="P148" i="12"/>
  <c r="P147" i="12" s="1"/>
  <c r="L12" i="11"/>
  <c r="M12" i="11"/>
  <c r="D31" i="17"/>
  <c r="D30" i="17"/>
  <c r="D23" i="17"/>
  <c r="C46" i="17"/>
  <c r="D48" i="17"/>
  <c r="D47" i="17"/>
  <c r="D28" i="17"/>
  <c r="D27" i="17" s="1"/>
  <c r="D21" i="17"/>
  <c r="D25" i="17"/>
  <c r="D24" i="17"/>
  <c r="D22" i="17"/>
  <c r="D20" i="17"/>
  <c r="D18" i="17" s="1"/>
  <c r="D11" i="17" s="1"/>
  <c r="C11" i="18"/>
  <c r="C7" i="18" s="1"/>
  <c r="C11" i="19"/>
  <c r="D14" i="11"/>
  <c r="D18" i="11"/>
  <c r="D19" i="11"/>
  <c r="D21" i="11"/>
  <c r="D22" i="11"/>
  <c r="D23" i="11"/>
  <c r="D25" i="11"/>
  <c r="D26" i="11"/>
  <c r="D27" i="11"/>
  <c r="D28" i="11"/>
  <c r="D30" i="11"/>
  <c r="D31" i="11"/>
  <c r="D32" i="11"/>
  <c r="D33" i="11"/>
  <c r="D34" i="11"/>
  <c r="D35" i="11"/>
  <c r="D37" i="11"/>
  <c r="D38" i="11"/>
  <c r="D39" i="11"/>
  <c r="D40" i="11"/>
  <c r="D42" i="11"/>
  <c r="D13" i="11"/>
  <c r="D139" i="12"/>
  <c r="D189" i="12"/>
  <c r="C158" i="12"/>
  <c r="C156" i="12"/>
  <c r="C157" i="12"/>
  <c r="C151" i="12"/>
  <c r="G148" i="12"/>
  <c r="D148" i="12"/>
  <c r="K183" i="12"/>
  <c r="K184" i="12"/>
  <c r="K185" i="12"/>
  <c r="C185" i="12" s="1"/>
  <c r="C184" i="14"/>
  <c r="C155" i="14"/>
  <c r="C187" i="14"/>
  <c r="C159" i="14"/>
  <c r="C149" i="14"/>
  <c r="C179" i="14"/>
  <c r="C175" i="14"/>
  <c r="C173" i="14"/>
  <c r="C166" i="14"/>
  <c r="C160" i="14"/>
  <c r="C154" i="14"/>
  <c r="C31" i="15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13" i="11"/>
  <c r="I12" i="11"/>
  <c r="G12" i="11"/>
  <c r="C183" i="12"/>
  <c r="C184" i="12"/>
  <c r="C169" i="12"/>
  <c r="A191" i="12"/>
  <c r="A192" i="12" s="1"/>
  <c r="A193" i="12" s="1"/>
  <c r="A194" i="12" s="1"/>
  <c r="A195" i="12" s="1"/>
  <c r="A196" i="12" s="1"/>
  <c r="A197" i="12" s="1"/>
  <c r="A198" i="12" s="1"/>
  <c r="A199" i="12" s="1"/>
  <c r="C163" i="12"/>
  <c r="C165" i="12"/>
  <c r="C166" i="12"/>
  <c r="A154" i="12"/>
  <c r="A155" i="12"/>
  <c r="A156" i="12" s="1"/>
  <c r="A157" i="12" s="1"/>
  <c r="A158" i="12" s="1"/>
  <c r="A159" i="12" s="1"/>
  <c r="A160" i="12" s="1"/>
  <c r="A162" i="12" s="1"/>
  <c r="A163" i="12" s="1"/>
  <c r="A164" i="12" s="1"/>
  <c r="A166" i="12" s="1"/>
  <c r="D104" i="12"/>
  <c r="D49" i="12"/>
  <c r="E49" i="12"/>
  <c r="E13" i="12" s="1"/>
  <c r="F49" i="12"/>
  <c r="F13" i="12" s="1"/>
  <c r="F12" i="12" s="1"/>
  <c r="G49" i="12"/>
  <c r="G13" i="12" s="1"/>
  <c r="G12" i="12" s="1"/>
  <c r="H49" i="12"/>
  <c r="H13" i="12" s="1"/>
  <c r="H12" i="12" s="1"/>
  <c r="I49" i="12"/>
  <c r="I13" i="12" s="1"/>
  <c r="I12" i="12" s="1"/>
  <c r="J49" i="12"/>
  <c r="J13" i="12" s="1"/>
  <c r="L49" i="12"/>
  <c r="L13" i="12" s="1"/>
  <c r="L12" i="12" s="1"/>
  <c r="M49" i="12"/>
  <c r="M13" i="12" s="1"/>
  <c r="M12" i="12" s="1"/>
  <c r="N49" i="12"/>
  <c r="N13" i="12" s="1"/>
  <c r="N12" i="12" s="1"/>
  <c r="O49" i="12"/>
  <c r="O13" i="12" s="1"/>
  <c r="O12" i="12" s="1"/>
  <c r="P49" i="12"/>
  <c r="P13" i="12" s="1"/>
  <c r="Q49" i="12"/>
  <c r="Q13" i="12" s="1"/>
  <c r="Q12" i="12" s="1"/>
  <c r="R49" i="12"/>
  <c r="R13" i="12" s="1"/>
  <c r="R12" i="12" s="1"/>
  <c r="S49" i="12"/>
  <c r="S13" i="12" s="1"/>
  <c r="S12" i="12" s="1"/>
  <c r="T49" i="12"/>
  <c r="T13" i="12" s="1"/>
  <c r="T12" i="12" s="1"/>
  <c r="D14" i="12"/>
  <c r="C48" i="12"/>
  <c r="D147" i="14"/>
  <c r="E147" i="14"/>
  <c r="F140" i="14"/>
  <c r="C140" i="14" s="1"/>
  <c r="C142" i="14"/>
  <c r="C139" i="14"/>
  <c r="D15" i="14"/>
  <c r="E15" i="14"/>
  <c r="G15" i="14"/>
  <c r="C49" i="14"/>
  <c r="C152" i="12"/>
  <c r="K191" i="12"/>
  <c r="C191" i="12"/>
  <c r="K192" i="12"/>
  <c r="C192" i="12"/>
  <c r="K193" i="12"/>
  <c r="C193" i="12"/>
  <c r="C189" i="12" s="1"/>
  <c r="K194" i="12"/>
  <c r="K195" i="12"/>
  <c r="K196" i="12"/>
  <c r="C196" i="12"/>
  <c r="K198" i="12"/>
  <c r="C198" i="12"/>
  <c r="K190" i="12"/>
  <c r="C190" i="12"/>
  <c r="C155" i="12"/>
  <c r="I189" i="12"/>
  <c r="K197" i="12"/>
  <c r="C197" i="12"/>
  <c r="D172" i="12"/>
  <c r="E172" i="12"/>
  <c r="F172" i="12"/>
  <c r="G172" i="12"/>
  <c r="H172" i="12"/>
  <c r="I172" i="12"/>
  <c r="J172" i="12"/>
  <c r="L172" i="12"/>
  <c r="M172" i="12"/>
  <c r="N172" i="12"/>
  <c r="O172" i="12"/>
  <c r="P172" i="12"/>
  <c r="R172" i="12"/>
  <c r="S172" i="12"/>
  <c r="T172" i="12"/>
  <c r="D167" i="12"/>
  <c r="E167" i="12"/>
  <c r="F167" i="12"/>
  <c r="G167" i="12"/>
  <c r="H167" i="12"/>
  <c r="I167" i="12"/>
  <c r="J167" i="12"/>
  <c r="L167" i="12"/>
  <c r="M167" i="12"/>
  <c r="N167" i="12"/>
  <c r="O167" i="12"/>
  <c r="P167" i="12"/>
  <c r="R167" i="12"/>
  <c r="S167" i="12"/>
  <c r="T167" i="12"/>
  <c r="E148" i="12"/>
  <c r="E147" i="12" s="1"/>
  <c r="H148" i="12"/>
  <c r="I148" i="12"/>
  <c r="J148" i="12"/>
  <c r="J147" i="12" s="1"/>
  <c r="L148" i="12"/>
  <c r="M148" i="12"/>
  <c r="N148" i="12"/>
  <c r="O148" i="12"/>
  <c r="O147" i="12"/>
  <c r="R148" i="12"/>
  <c r="S148" i="12"/>
  <c r="T148" i="12"/>
  <c r="T147" i="12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9" i="29" s="1"/>
  <c r="C12" i="29"/>
  <c r="C11" i="29"/>
  <c r="C10" i="29"/>
  <c r="F9" i="29"/>
  <c r="E9" i="29"/>
  <c r="D9" i="29"/>
  <c r="K12" i="11"/>
  <c r="J12" i="11"/>
  <c r="H12" i="11"/>
  <c r="N12" i="11"/>
  <c r="C12" i="11"/>
  <c r="C158" i="14"/>
  <c r="G183" i="14"/>
  <c r="H183" i="14"/>
  <c r="G147" i="14"/>
  <c r="G13" i="14" s="1"/>
  <c r="G12" i="14" s="1"/>
  <c r="H147" i="14"/>
  <c r="H13" i="14"/>
  <c r="H12" i="14" s="1"/>
  <c r="I147" i="14"/>
  <c r="I13" i="14" s="1"/>
  <c r="I12" i="14" s="1"/>
  <c r="C153" i="14"/>
  <c r="C156" i="14"/>
  <c r="C157" i="14"/>
  <c r="C188" i="14"/>
  <c r="C174" i="14"/>
  <c r="C177" i="14"/>
  <c r="C171" i="14"/>
  <c r="C167" i="14"/>
  <c r="C170" i="14"/>
  <c r="D161" i="14"/>
  <c r="E161" i="14"/>
  <c r="C150" i="14"/>
  <c r="E12" i="14"/>
  <c r="J13" i="14"/>
  <c r="J12" i="14" s="1"/>
  <c r="K13" i="14"/>
  <c r="K12" i="14" s="1"/>
  <c r="L13" i="14"/>
  <c r="L12" i="14" s="1"/>
  <c r="C185" i="14"/>
  <c r="C186" i="14"/>
  <c r="C189" i="14"/>
  <c r="C190" i="14"/>
  <c r="C182" i="14"/>
  <c r="C181" i="14"/>
  <c r="F180" i="14"/>
  <c r="C162" i="14"/>
  <c r="C161" i="14"/>
  <c r="C163" i="14"/>
  <c r="C164" i="14"/>
  <c r="C168" i="14"/>
  <c r="C169" i="14"/>
  <c r="C176" i="14"/>
  <c r="C178" i="14"/>
  <c r="C165" i="14" s="1"/>
  <c r="A149" i="14"/>
  <c r="A150" i="14" s="1"/>
  <c r="A151" i="14" s="1"/>
  <c r="A152" i="14" s="1"/>
  <c r="A153" i="14" s="1"/>
  <c r="A154" i="14" s="1"/>
  <c r="A155" i="14" s="1"/>
  <c r="A157" i="14" s="1"/>
  <c r="A158" i="14" s="1"/>
  <c r="A159" i="14" s="1"/>
  <c r="A160" i="14" s="1"/>
  <c r="A182" i="14"/>
  <c r="C17" i="14"/>
  <c r="C20" i="14"/>
  <c r="C21" i="14"/>
  <c r="C24" i="14"/>
  <c r="C25" i="14"/>
  <c r="C28" i="14"/>
  <c r="C29" i="14"/>
  <c r="C32" i="14"/>
  <c r="C33" i="14"/>
  <c r="C36" i="14"/>
  <c r="C37" i="14"/>
  <c r="C40" i="14"/>
  <c r="C41" i="14"/>
  <c r="C44" i="14"/>
  <c r="C45" i="14"/>
  <c r="C48" i="14"/>
  <c r="C54" i="14"/>
  <c r="C62" i="14"/>
  <c r="C66" i="14"/>
  <c r="C70" i="14"/>
  <c r="C74" i="14"/>
  <c r="C78" i="14"/>
  <c r="C82" i="14"/>
  <c r="C86" i="14"/>
  <c r="C90" i="14"/>
  <c r="C94" i="14"/>
  <c r="C98" i="14"/>
  <c r="C102" i="14"/>
  <c r="C111" i="14"/>
  <c r="C115" i="14"/>
  <c r="C119" i="14"/>
  <c r="C123" i="14"/>
  <c r="C127" i="14"/>
  <c r="C131" i="14"/>
  <c r="C135" i="14"/>
  <c r="C141" i="14"/>
  <c r="C143" i="14"/>
  <c r="C144" i="14"/>
  <c r="C146" i="14"/>
  <c r="C199" i="12"/>
  <c r="U189" i="12"/>
  <c r="T189" i="12"/>
  <c r="S189" i="12"/>
  <c r="R189" i="12"/>
  <c r="Q189" i="12"/>
  <c r="P189" i="12"/>
  <c r="M189" i="12"/>
  <c r="L189" i="12"/>
  <c r="J189" i="12"/>
  <c r="F189" i="12"/>
  <c r="E189" i="12"/>
  <c r="K188" i="12"/>
  <c r="C188" i="12"/>
  <c r="K187" i="12"/>
  <c r="K186" i="12"/>
  <c r="T186" i="12"/>
  <c r="S186" i="12"/>
  <c r="R186" i="12"/>
  <c r="Q186" i="12"/>
  <c r="P186" i="12"/>
  <c r="N186" i="12"/>
  <c r="M186" i="12"/>
  <c r="L186" i="12"/>
  <c r="J186" i="12"/>
  <c r="I186" i="12"/>
  <c r="H186" i="12"/>
  <c r="G186" i="12"/>
  <c r="F186" i="12"/>
  <c r="E186" i="12"/>
  <c r="D186" i="12"/>
  <c r="K182" i="12"/>
  <c r="C182" i="12"/>
  <c r="K181" i="12"/>
  <c r="C181" i="12" s="1"/>
  <c r="K180" i="12"/>
  <c r="C180" i="12" s="1"/>
  <c r="K179" i="12"/>
  <c r="C179" i="12" s="1"/>
  <c r="K178" i="12"/>
  <c r="C178" i="12" s="1"/>
  <c r="K177" i="12"/>
  <c r="C177" i="12" s="1"/>
  <c r="K176" i="12"/>
  <c r="C176" i="12"/>
  <c r="K175" i="12"/>
  <c r="C175" i="12" s="1"/>
  <c r="K174" i="12"/>
  <c r="C174" i="12" s="1"/>
  <c r="K173" i="12"/>
  <c r="C173" i="12" s="1"/>
  <c r="C172" i="12" s="1"/>
  <c r="K171" i="12"/>
  <c r="C171" i="12" s="1"/>
  <c r="K170" i="12"/>
  <c r="C170" i="12" s="1"/>
  <c r="K168" i="12"/>
  <c r="C168" i="12" s="1"/>
  <c r="C167" i="12" s="1"/>
  <c r="C161" i="12"/>
  <c r="C160" i="12"/>
  <c r="C159" i="12"/>
  <c r="C149" i="12"/>
  <c r="C146" i="12"/>
  <c r="C145" i="12"/>
  <c r="C143" i="12"/>
  <c r="C142" i="12"/>
  <c r="T141" i="12"/>
  <c r="S141" i="12"/>
  <c r="R141" i="12"/>
  <c r="Q141" i="12"/>
  <c r="P141" i="12"/>
  <c r="N141" i="12"/>
  <c r="M141" i="12"/>
  <c r="L141" i="12"/>
  <c r="K141" i="12"/>
  <c r="J141" i="12"/>
  <c r="I141" i="12"/>
  <c r="H141" i="12"/>
  <c r="G141" i="12"/>
  <c r="F141" i="12"/>
  <c r="C141" i="12" s="1"/>
  <c r="E141" i="12"/>
  <c r="K140" i="12"/>
  <c r="C140" i="12"/>
  <c r="K139" i="12"/>
  <c r="K138" i="12"/>
  <c r="C138" i="12"/>
  <c r="K137" i="12"/>
  <c r="C137" i="12"/>
  <c r="K136" i="12"/>
  <c r="C136" i="12"/>
  <c r="K135" i="12"/>
  <c r="C135" i="12"/>
  <c r="K134" i="12"/>
  <c r="C134" i="12" s="1"/>
  <c r="K133" i="12"/>
  <c r="C133" i="12"/>
  <c r="K132" i="12"/>
  <c r="C132" i="12"/>
  <c r="K131" i="12"/>
  <c r="C131" i="12"/>
  <c r="K130" i="12"/>
  <c r="C130" i="12"/>
  <c r="K129" i="12"/>
  <c r="C129" i="12"/>
  <c r="K128" i="12"/>
  <c r="C128" i="12" s="1"/>
  <c r="K127" i="12"/>
  <c r="C127" i="12"/>
  <c r="K126" i="12"/>
  <c r="C126" i="12"/>
  <c r="K125" i="12"/>
  <c r="C125" i="12"/>
  <c r="K124" i="12"/>
  <c r="C124" i="12"/>
  <c r="K123" i="12"/>
  <c r="C123" i="12"/>
  <c r="K122" i="12"/>
  <c r="C122" i="12" s="1"/>
  <c r="K121" i="12"/>
  <c r="C121" i="12"/>
  <c r="K120" i="12"/>
  <c r="C120" i="12"/>
  <c r="K119" i="12"/>
  <c r="C119" i="12"/>
  <c r="K118" i="12"/>
  <c r="C118" i="12"/>
  <c r="K117" i="12"/>
  <c r="C117" i="12"/>
  <c r="K116" i="12"/>
  <c r="C116" i="12" s="1"/>
  <c r="K115" i="12"/>
  <c r="C115" i="12"/>
  <c r="K114" i="12"/>
  <c r="C114" i="12"/>
  <c r="K113" i="12"/>
  <c r="C113" i="12"/>
  <c r="K112" i="12"/>
  <c r="C112" i="12"/>
  <c r="K111" i="12"/>
  <c r="C111" i="12"/>
  <c r="K110" i="12"/>
  <c r="C110" i="12" s="1"/>
  <c r="K109" i="12"/>
  <c r="C109" i="12"/>
  <c r="K108" i="12"/>
  <c r="C108" i="12"/>
  <c r="K107" i="12"/>
  <c r="C107" i="12"/>
  <c r="K106" i="12"/>
  <c r="C106" i="12"/>
  <c r="K105" i="12"/>
  <c r="C105" i="12"/>
  <c r="K103" i="12"/>
  <c r="C103" i="12" s="1"/>
  <c r="K102" i="12"/>
  <c r="C102" i="12"/>
  <c r="K101" i="12"/>
  <c r="C101" i="12"/>
  <c r="K100" i="12"/>
  <c r="C100" i="12"/>
  <c r="K99" i="12"/>
  <c r="C99" i="12"/>
  <c r="K98" i="12"/>
  <c r="C98" i="12"/>
  <c r="K97" i="12"/>
  <c r="C97" i="12" s="1"/>
  <c r="K96" i="12"/>
  <c r="C96" i="12"/>
  <c r="K95" i="12"/>
  <c r="C95" i="12"/>
  <c r="K94" i="12"/>
  <c r="C94" i="12"/>
  <c r="K93" i="12"/>
  <c r="C93" i="12"/>
  <c r="K92" i="12"/>
  <c r="C92" i="12"/>
  <c r="K91" i="12"/>
  <c r="C91" i="12" s="1"/>
  <c r="K90" i="12"/>
  <c r="C90" i="12"/>
  <c r="K89" i="12"/>
  <c r="C89" i="12"/>
  <c r="K88" i="12"/>
  <c r="C88" i="12"/>
  <c r="K87" i="12"/>
  <c r="C87" i="12"/>
  <c r="K86" i="12"/>
  <c r="C86" i="12"/>
  <c r="K85" i="12"/>
  <c r="C85" i="12" s="1"/>
  <c r="K84" i="12"/>
  <c r="C84" i="12"/>
  <c r="K83" i="12"/>
  <c r="C83" i="12"/>
  <c r="K82" i="12"/>
  <c r="C82" i="12"/>
  <c r="K81" i="12"/>
  <c r="C81" i="12"/>
  <c r="K80" i="12"/>
  <c r="C80" i="12"/>
  <c r="K79" i="12"/>
  <c r="C79" i="12" s="1"/>
  <c r="K78" i="12"/>
  <c r="C78" i="12"/>
  <c r="K77" i="12"/>
  <c r="C77" i="12"/>
  <c r="K76" i="12"/>
  <c r="C76" i="12"/>
  <c r="K75" i="12"/>
  <c r="C75" i="12"/>
  <c r="K74" i="12"/>
  <c r="C74" i="12"/>
  <c r="K73" i="12"/>
  <c r="C73" i="12" s="1"/>
  <c r="K72" i="12"/>
  <c r="C72" i="12"/>
  <c r="K71" i="12"/>
  <c r="C71" i="12"/>
  <c r="K70" i="12"/>
  <c r="C70" i="12"/>
  <c r="K69" i="12"/>
  <c r="C69" i="12"/>
  <c r="K68" i="12"/>
  <c r="C68" i="12"/>
  <c r="K67" i="12"/>
  <c r="C67" i="12" s="1"/>
  <c r="K66" i="12"/>
  <c r="C66" i="12"/>
  <c r="K65" i="12"/>
  <c r="C65" i="12"/>
  <c r="K64" i="12"/>
  <c r="C64" i="12"/>
  <c r="K63" i="12"/>
  <c r="C63" i="12"/>
  <c r="K62" i="12"/>
  <c r="C62" i="12"/>
  <c r="K61" i="12"/>
  <c r="C61" i="12" s="1"/>
  <c r="K60" i="12"/>
  <c r="C60" i="12"/>
  <c r="K59" i="12"/>
  <c r="C59" i="12"/>
  <c r="K58" i="12"/>
  <c r="C58" i="12"/>
  <c r="K57" i="12"/>
  <c r="C57" i="12"/>
  <c r="K56" i="12"/>
  <c r="C56" i="12"/>
  <c r="K55" i="12"/>
  <c r="C55" i="12" s="1"/>
  <c r="K54" i="12"/>
  <c r="C54" i="12"/>
  <c r="K53" i="12"/>
  <c r="C53" i="12"/>
  <c r="K52" i="12"/>
  <c r="C52" i="12"/>
  <c r="K51" i="12"/>
  <c r="C51" i="12"/>
  <c r="K50" i="12"/>
  <c r="C50" i="12"/>
  <c r="C49" i="12" s="1"/>
  <c r="K47" i="12"/>
  <c r="C47" i="12" s="1"/>
  <c r="K46" i="12"/>
  <c r="C46" i="12"/>
  <c r="K45" i="12"/>
  <c r="C45" i="12"/>
  <c r="K44" i="12"/>
  <c r="C44" i="12"/>
  <c r="K43" i="12"/>
  <c r="C43" i="12"/>
  <c r="K42" i="12"/>
  <c r="C42" i="12"/>
  <c r="K41" i="12"/>
  <c r="C41" i="12" s="1"/>
  <c r="K40" i="12"/>
  <c r="C40" i="12"/>
  <c r="K39" i="12"/>
  <c r="C39" i="12"/>
  <c r="K38" i="12"/>
  <c r="C38" i="12"/>
  <c r="K37" i="12"/>
  <c r="C37" i="12"/>
  <c r="K36" i="12"/>
  <c r="C36" i="12"/>
  <c r="K35" i="12"/>
  <c r="C35" i="12" s="1"/>
  <c r="K34" i="12"/>
  <c r="C34" i="12"/>
  <c r="K33" i="12"/>
  <c r="C33" i="12"/>
  <c r="K32" i="12"/>
  <c r="C32" i="12"/>
  <c r="K31" i="12"/>
  <c r="C31" i="12"/>
  <c r="K30" i="12"/>
  <c r="C30" i="12"/>
  <c r="K29" i="12"/>
  <c r="C29" i="12" s="1"/>
  <c r="K28" i="12"/>
  <c r="C28" i="12"/>
  <c r="K27" i="12"/>
  <c r="C27" i="12"/>
  <c r="K26" i="12"/>
  <c r="C26" i="12"/>
  <c r="K25" i="12"/>
  <c r="C25" i="12"/>
  <c r="K24" i="12"/>
  <c r="C24" i="12"/>
  <c r="K23" i="12"/>
  <c r="C23" i="12" s="1"/>
  <c r="K22" i="12"/>
  <c r="C22" i="12"/>
  <c r="K21" i="12"/>
  <c r="C21" i="12"/>
  <c r="K20" i="12"/>
  <c r="C20" i="12"/>
  <c r="K19" i="12"/>
  <c r="C19" i="12"/>
  <c r="K18" i="12"/>
  <c r="C18" i="12"/>
  <c r="K17" i="12"/>
  <c r="C17" i="12" s="1"/>
  <c r="K16" i="12"/>
  <c r="C16" i="12"/>
  <c r="K15" i="12"/>
  <c r="C15" i="12"/>
  <c r="D26" i="17"/>
  <c r="C40" i="17"/>
  <c r="D43" i="17"/>
  <c r="D40" i="17" s="1"/>
  <c r="D44" i="17"/>
  <c r="C18" i="18"/>
  <c r="C29" i="16"/>
  <c r="C192" i="14"/>
  <c r="C191" i="14"/>
  <c r="S190" i="14"/>
  <c r="S189" i="14"/>
  <c r="S188" i="14"/>
  <c r="S187" i="14"/>
  <c r="S186" i="14"/>
  <c r="S185" i="14"/>
  <c r="O185" i="14"/>
  <c r="S184" i="14"/>
  <c r="AC12" i="14"/>
  <c r="S183" i="14"/>
  <c r="S182" i="14"/>
  <c r="S181" i="14"/>
  <c r="AB180" i="14"/>
  <c r="AA180" i="14"/>
  <c r="Z180" i="14"/>
  <c r="Y180" i="14"/>
  <c r="X180" i="14"/>
  <c r="V180" i="14"/>
  <c r="U180" i="14"/>
  <c r="T180" i="14"/>
  <c r="R180" i="14"/>
  <c r="Q180" i="14"/>
  <c r="P180" i="14"/>
  <c r="O180" i="14"/>
  <c r="N180" i="14"/>
  <c r="M180" i="14"/>
  <c r="D180" i="14"/>
  <c r="S179" i="14"/>
  <c r="S176" i="14"/>
  <c r="S175" i="14"/>
  <c r="S174" i="14"/>
  <c r="S173" i="14"/>
  <c r="S172" i="14"/>
  <c r="S171" i="14"/>
  <c r="S170" i="14"/>
  <c r="S169" i="14"/>
  <c r="S168" i="14"/>
  <c r="S167" i="14"/>
  <c r="S166" i="14"/>
  <c r="S164" i="14"/>
  <c r="S163" i="14"/>
  <c r="S162" i="14"/>
  <c r="S160" i="14"/>
  <c r="Y159" i="14"/>
  <c r="S159" i="14"/>
  <c r="S158" i="14"/>
  <c r="S157" i="14"/>
  <c r="O157" i="14"/>
  <c r="O147" i="14" s="1"/>
  <c r="O12" i="14" s="1"/>
  <c r="Z155" i="14"/>
  <c r="Z147" i="14" s="1"/>
  <c r="Z12" i="14" s="1"/>
  <c r="S155" i="14"/>
  <c r="S154" i="14"/>
  <c r="S153" i="14"/>
  <c r="S152" i="14"/>
  <c r="R152" i="14"/>
  <c r="R147" i="14" s="1"/>
  <c r="R12" i="14" s="1"/>
  <c r="S151" i="14"/>
  <c r="S150" i="14"/>
  <c r="X149" i="14"/>
  <c r="S149" i="14" s="1"/>
  <c r="S147" i="14" s="1"/>
  <c r="Y148" i="14"/>
  <c r="Y147" i="14" s="1"/>
  <c r="S148" i="14"/>
  <c r="AB147" i="14"/>
  <c r="AA147" i="14"/>
  <c r="W147" i="14"/>
  <c r="V147" i="14"/>
  <c r="U147" i="14"/>
  <c r="T147" i="14"/>
  <c r="Q147" i="14"/>
  <c r="P147" i="14"/>
  <c r="N147" i="14"/>
  <c r="M147" i="14"/>
  <c r="AB143" i="14"/>
  <c r="AA143" i="14"/>
  <c r="Z143" i="14"/>
  <c r="Y143" i="14"/>
  <c r="X143" i="14"/>
  <c r="V143" i="14"/>
  <c r="U143" i="14"/>
  <c r="T143" i="14"/>
  <c r="S143" i="14"/>
  <c r="R143" i="14"/>
  <c r="Q143" i="14"/>
  <c r="P143" i="14"/>
  <c r="O143" i="14"/>
  <c r="N143" i="14"/>
  <c r="M143" i="14"/>
  <c r="D143" i="14"/>
  <c r="D14" i="14"/>
  <c r="D13" i="14" s="1"/>
  <c r="D12" i="14" s="1"/>
  <c r="S141" i="14"/>
  <c r="S140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4" i="14" s="1"/>
  <c r="S12" i="14" s="1"/>
  <c r="S17" i="14"/>
  <c r="S16" i="14"/>
  <c r="AB14" i="14"/>
  <c r="AA14" i="14"/>
  <c r="Z14" i="14"/>
  <c r="Y14" i="14"/>
  <c r="X14" i="14"/>
  <c r="W14" i="14"/>
  <c r="W12" i="14" s="1"/>
  <c r="V14" i="14"/>
  <c r="U14" i="14"/>
  <c r="U12" i="14" s="1"/>
  <c r="T14" i="14"/>
  <c r="T12" i="14" s="1"/>
  <c r="R14" i="14"/>
  <c r="Q14" i="14"/>
  <c r="P14" i="14"/>
  <c r="O14" i="14"/>
  <c r="N14" i="14"/>
  <c r="M14" i="14"/>
  <c r="C14" i="15"/>
  <c r="D14" i="16"/>
  <c r="D13" i="16" s="1"/>
  <c r="D12" i="16" s="1"/>
  <c r="E14" i="16"/>
  <c r="E13" i="16"/>
  <c r="E12" i="16" s="1"/>
  <c r="C16" i="16"/>
  <c r="C17" i="16"/>
  <c r="C18" i="16"/>
  <c r="C19" i="16"/>
  <c r="C20" i="16"/>
  <c r="C14" i="16" s="1"/>
  <c r="C13" i="16" s="1"/>
  <c r="C12" i="16" s="1"/>
  <c r="C21" i="16"/>
  <c r="C22" i="16"/>
  <c r="C23" i="16"/>
  <c r="C24" i="16"/>
  <c r="C25" i="16"/>
  <c r="C26" i="16"/>
  <c r="C27" i="16"/>
  <c r="C28" i="16"/>
  <c r="C30" i="16"/>
  <c r="C31" i="16"/>
  <c r="C32" i="16"/>
  <c r="C33" i="16"/>
  <c r="C34" i="16"/>
  <c r="C35" i="16"/>
  <c r="C15" i="16"/>
  <c r="D32" i="17"/>
  <c r="C18" i="17"/>
  <c r="C11" i="17" s="1"/>
  <c r="C27" i="18"/>
  <c r="C25" i="18"/>
  <c r="C24" i="18" s="1"/>
  <c r="C20" i="18"/>
  <c r="C23" i="19"/>
  <c r="C22" i="19"/>
  <c r="C16" i="19"/>
  <c r="C10" i="19"/>
  <c r="F183" i="14"/>
  <c r="N189" i="12"/>
  <c r="C153" i="12"/>
  <c r="C195" i="12"/>
  <c r="C150" i="12"/>
  <c r="H189" i="12"/>
  <c r="C151" i="14"/>
  <c r="C172" i="14"/>
  <c r="F165" i="14"/>
  <c r="F148" i="12"/>
  <c r="F147" i="12"/>
  <c r="C162" i="12"/>
  <c r="C12" i="15"/>
  <c r="C10" i="15" s="1"/>
  <c r="Q172" i="12"/>
  <c r="C8" i="18"/>
  <c r="M147" i="12"/>
  <c r="K189" i="12"/>
  <c r="R147" i="12"/>
  <c r="S147" i="12"/>
  <c r="H147" i="12"/>
  <c r="L147" i="12"/>
  <c r="C194" i="12"/>
  <c r="K49" i="12"/>
  <c r="K13" i="12"/>
  <c r="N147" i="12"/>
  <c r="I147" i="12"/>
  <c r="C187" i="12"/>
  <c r="C186" i="12" s="1"/>
  <c r="G147" i="12"/>
  <c r="C139" i="12"/>
  <c r="D147" i="12"/>
  <c r="D13" i="12"/>
  <c r="Q12" i="14"/>
  <c r="C180" i="14"/>
  <c r="X147" i="14"/>
  <c r="P12" i="14"/>
  <c r="AA12" i="14"/>
  <c r="V12" i="14"/>
  <c r="AB12" i="14"/>
  <c r="S180" i="14"/>
  <c r="X12" i="14"/>
  <c r="C183" i="14"/>
  <c r="M12" i="14"/>
  <c r="N12" i="14"/>
  <c r="C16" i="14"/>
  <c r="D12" i="12"/>
  <c r="D36" i="11"/>
  <c r="L33" i="30"/>
  <c r="O31" i="30"/>
  <c r="L31" i="30" s="1"/>
  <c r="S57" i="30"/>
  <c r="S56" i="30" s="1"/>
  <c r="W13" i="30"/>
  <c r="O44" i="30"/>
  <c r="O43" i="30" s="1"/>
  <c r="W57" i="30"/>
  <c r="W56" i="30" s="1"/>
  <c r="W89" i="30"/>
  <c r="T143" i="30"/>
  <c r="W142" i="30"/>
  <c r="T142" i="30" s="1"/>
  <c r="S26" i="30"/>
  <c r="P26" i="30"/>
  <c r="W34" i="30"/>
  <c r="T34" i="30"/>
  <c r="P90" i="30"/>
  <c r="L91" i="30"/>
  <c r="T107" i="30"/>
  <c r="W106" i="30"/>
  <c r="T128" i="30"/>
  <c r="W127" i="30"/>
  <c r="W88" i="30"/>
  <c r="T88" i="30"/>
  <c r="T89" i="30"/>
  <c r="L44" i="30"/>
  <c r="T13" i="30"/>
  <c r="W12" i="30"/>
  <c r="T106" i="30"/>
  <c r="W105" i="30"/>
  <c r="T105" i="30" s="1"/>
  <c r="T127" i="30"/>
  <c r="P57" i="30"/>
  <c r="C10" i="17" l="1"/>
  <c r="D46" i="17"/>
  <c r="D10" i="17" s="1"/>
  <c r="P56" i="30"/>
  <c r="P89" i="30"/>
  <c r="S88" i="30"/>
  <c r="P88" i="30" s="1"/>
  <c r="T27" i="30"/>
  <c r="W26" i="30"/>
  <c r="T26" i="30" s="1"/>
  <c r="O89" i="30"/>
  <c r="L90" i="30"/>
  <c r="J12" i="12"/>
  <c r="L28" i="30"/>
  <c r="O27" i="30"/>
  <c r="C104" i="12"/>
  <c r="C50" i="14"/>
  <c r="C14" i="12"/>
  <c r="C13" i="12" s="1"/>
  <c r="C105" i="14"/>
  <c r="E12" i="12"/>
  <c r="W126" i="30"/>
  <c r="T126" i="30" s="1"/>
  <c r="C148" i="12"/>
  <c r="C147" i="12" s="1"/>
  <c r="T56" i="30"/>
  <c r="O42" i="30"/>
  <c r="L43" i="30"/>
  <c r="Y12" i="14"/>
  <c r="P12" i="12"/>
  <c r="O13" i="30"/>
  <c r="L14" i="30"/>
  <c r="P36" i="30"/>
  <c r="S35" i="30"/>
  <c r="P43" i="30"/>
  <c r="S42" i="30"/>
  <c r="O57" i="30"/>
  <c r="L58" i="30"/>
  <c r="T12" i="30"/>
  <c r="W141" i="30"/>
  <c r="T141" i="30" s="1"/>
  <c r="K167" i="12"/>
  <c r="T28" i="30"/>
  <c r="O35" i="30"/>
  <c r="L59" i="30"/>
  <c r="S74" i="30"/>
  <c r="P74" i="30" s="1"/>
  <c r="O76" i="30"/>
  <c r="O80" i="30"/>
  <c r="L80" i="30" s="1"/>
  <c r="O107" i="30"/>
  <c r="L107" i="30" s="1"/>
  <c r="S127" i="30"/>
  <c r="F50" i="14"/>
  <c r="T57" i="30"/>
  <c r="O19" i="30"/>
  <c r="L19" i="30" s="1"/>
  <c r="P37" i="30"/>
  <c r="L40" i="30"/>
  <c r="P107" i="30"/>
  <c r="S110" i="30"/>
  <c r="P110" i="30" s="1"/>
  <c r="P124" i="30"/>
  <c r="P143" i="30"/>
  <c r="L15" i="30"/>
  <c r="L29" i="30"/>
  <c r="K172" i="12"/>
  <c r="W75" i="30"/>
  <c r="T124" i="30"/>
  <c r="K148" i="12"/>
  <c r="D29" i="11"/>
  <c r="D12" i="11" s="1"/>
  <c r="C148" i="14"/>
  <c r="C147" i="14" s="1"/>
  <c r="C18" i="14"/>
  <c r="C15" i="14" s="1"/>
  <c r="F12" i="11"/>
  <c r="S13" i="30"/>
  <c r="W43" i="30"/>
  <c r="F105" i="14"/>
  <c r="F14" i="14" s="1"/>
  <c r="F13" i="14" l="1"/>
  <c r="C14" i="14"/>
  <c r="L89" i="30"/>
  <c r="O88" i="30"/>
  <c r="L88" i="30" s="1"/>
  <c r="L13" i="30"/>
  <c r="O12" i="30"/>
  <c r="S12" i="30"/>
  <c r="P13" i="30"/>
  <c r="S106" i="30"/>
  <c r="P42" i="30"/>
  <c r="S41" i="30"/>
  <c r="P41" i="30" s="1"/>
  <c r="S34" i="30"/>
  <c r="P34" i="30" s="1"/>
  <c r="P35" i="30"/>
  <c r="W11" i="30"/>
  <c r="K147" i="12"/>
  <c r="K12" i="12" s="1"/>
  <c r="C12" i="12" s="1"/>
  <c r="L42" i="30"/>
  <c r="O41" i="30"/>
  <c r="L41" i="30" s="1"/>
  <c r="W74" i="30"/>
  <c r="T75" i="30"/>
  <c r="W42" i="30"/>
  <c r="T43" i="30"/>
  <c r="L76" i="30"/>
  <c r="O75" i="30"/>
  <c r="L35" i="30"/>
  <c r="O34" i="30"/>
  <c r="L34" i="30" s="1"/>
  <c r="P127" i="30"/>
  <c r="S126" i="30"/>
  <c r="P126" i="30" s="1"/>
  <c r="L57" i="30"/>
  <c r="O56" i="30"/>
  <c r="O26" i="30"/>
  <c r="L26" i="30" s="1"/>
  <c r="L27" i="30"/>
  <c r="L56" i="30" l="1"/>
  <c r="S105" i="30"/>
  <c r="P106" i="30"/>
  <c r="S11" i="30"/>
  <c r="P12" i="30"/>
  <c r="T11" i="30"/>
  <c r="W10" i="30"/>
  <c r="T10" i="30" s="1"/>
  <c r="O11" i="30"/>
  <c r="L12" i="30"/>
  <c r="F12" i="14"/>
  <c r="C13" i="14"/>
  <c r="C12" i="14" s="1"/>
  <c r="T42" i="30"/>
  <c r="W41" i="30"/>
  <c r="T41" i="30" s="1"/>
  <c r="T74" i="30"/>
  <c r="W54" i="30"/>
  <c r="T54" i="30" s="1"/>
  <c r="O74" i="30"/>
  <c r="L74" i="30" s="1"/>
  <c r="L75" i="30"/>
  <c r="L11" i="30" l="1"/>
  <c r="P11" i="30"/>
  <c r="P105" i="30"/>
  <c r="S54" i="30"/>
  <c r="P54" i="30" s="1"/>
  <c r="O54" i="30"/>
  <c r="L54" i="30" s="1"/>
  <c r="S10" i="30" l="1"/>
  <c r="P10" i="30" s="1"/>
  <c r="O10" i="30"/>
  <c r="L10" i="30" s="1"/>
</calcChain>
</file>

<file path=xl/comments1.xml><?xml version="1.0" encoding="utf-8"?>
<comments xmlns="http://schemas.openxmlformats.org/spreadsheetml/2006/main">
  <authors>
    <author>hello</author>
  </authors>
  <commentList>
    <comment ref="T12" authorId="0" shapeId="0">
      <text>
        <r>
          <rPr>
            <b/>
            <sz val="9"/>
            <color indexed="81"/>
            <rFont val="Tahoma"/>
            <family val="2"/>
          </rPr>
          <t>hello:</t>
        </r>
        <r>
          <rPr>
            <sz val="9"/>
            <color indexed="81"/>
            <rFont val="Tahoma"/>
            <family val="2"/>
          </rPr>
          <t xml:space="preserve">
gồm ATGT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>hello:</t>
        </r>
        <r>
          <rPr>
            <sz val="9"/>
            <color indexed="81"/>
            <rFont val="Tahoma"/>
            <family val="2"/>
          </rPr>
          <t xml:space="preserve">
Không gồm tiền điễn hộ nghèo: 850trd</t>
        </r>
      </text>
    </comment>
  </commentList>
</comments>
</file>

<file path=xl/comments2.xml><?xml version="1.0" encoding="utf-8"?>
<comments xmlns="http://schemas.openxmlformats.org/spreadsheetml/2006/main">
  <authors>
    <author>hello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hello:</t>
        </r>
        <r>
          <rPr>
            <sz val="9"/>
            <color indexed="81"/>
            <rFont val="Tahoma"/>
            <family val="2"/>
          </rPr>
          <t xml:space="preserve">
Không gồm tiền điễn hộ nghèo: 850trd</t>
        </r>
      </text>
    </comment>
  </commentList>
</comments>
</file>

<file path=xl/sharedStrings.xml><?xml version="1.0" encoding="utf-8"?>
<sst xmlns="http://schemas.openxmlformats.org/spreadsheetml/2006/main" count="1214" uniqueCount="631">
  <si>
    <t>Đơn vị: Triệu đồng</t>
  </si>
  <si>
    <t>STT</t>
  </si>
  <si>
    <t>NỘI DUNG</t>
  </si>
  <si>
    <t>A</t>
  </si>
  <si>
    <t>B</t>
  </si>
  <si>
    <t>TỔNG NGUỒN THU NGÂN SÁCH HUYỆN</t>
  </si>
  <si>
    <t>I</t>
  </si>
  <si>
    <t>Thu ngân sách huyện được hưởng theo phân cấp</t>
  </si>
  <si>
    <t>-</t>
  </si>
  <si>
    <t>Thu ngân sách huyện hưởng 100%</t>
  </si>
  <si>
    <t xml:space="preserve">Thu ngân sách huyện hưởng từ các khoản thu phân chia </t>
  </si>
  <si>
    <t>II</t>
  </si>
  <si>
    <t>Thu bổ sung từ ngân sách cấp trên</t>
  </si>
  <si>
    <t>Thu bổ sung cân đối</t>
  </si>
  <si>
    <t>Thu bổ sung có mục tiêu</t>
  </si>
  <si>
    <t>III</t>
  </si>
  <si>
    <t>Thu kết dư</t>
  </si>
  <si>
    <t>IV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</si>
  <si>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</si>
  <si>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</si>
  <si>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</si>
  <si>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</si>
  <si>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</si>
  <si>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</si>
  <si>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</si>
  <si>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</si>
  <si>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</si>
  <si>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</si>
  <si>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</si>
  <si>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</si>
  <si>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NGÂN SÁCH CẤP HUYỆN</t>
  </si>
  <si>
    <t>Nguồn thu ngân sách</t>
  </si>
  <si>
    <t>Thu ngân sách được hưởng theo phân cấp</t>
  </si>
  <si>
    <t>Chi ngân sách</t>
  </si>
  <si>
    <t>Chi thuộc nhiệm vụ của ngân sách cấp huyện</t>
  </si>
  <si>
    <t>Chi bổ sung cho ngân sách xã</t>
  </si>
  <si>
    <t> -</t>
  </si>
  <si>
    <t>Chi bổ sung cân đối</t>
  </si>
  <si>
    <t>Chi bổ sung có mục tiêu</t>
  </si>
  <si>
    <t>NGÂN SÁCH XÃ</t>
  </si>
  <si>
    <t>Thu bổ sung từ ngân sách cấp huyện</t>
  </si>
  <si>
    <t>- </t>
  </si>
  <si>
    <t>Thu từ khu vực DNNN do Trung ương quản lý</t>
  </si>
  <si>
    <t>(Chi tiết theo sắc thuế)</t>
  </si>
  <si>
    <t xml:space="preserve">Thu từ khu vực doanh nghiệp có vốn đầu tư nước ngoài </t>
  </si>
  <si>
    <t xml:space="preserve">Thu từ khu vực kinh tế ngoài quốc doanh 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</si>
  <si>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</si>
  <si>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</si>
  <si>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</si>
  <si>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</si>
  <si>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</si>
  <si>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 xml:space="preserve">Thu từ hoạt động xổ số kiến thiết </t>
  </si>
  <si>
    <t>Thu tiền cấp quyền khai thác khoáng sản</t>
  </si>
  <si>
    <t>Thu khác ngân sách</t>
  </si>
  <si>
    <t>Thu từ quỹ đất công ích, hoa lợi công sản khác</t>
  </si>
  <si>
    <t>Nội dung</t>
  </si>
  <si>
    <t>Ngân sách huyện</t>
  </si>
  <si>
    <t xml:space="preserve">Chia ra </t>
  </si>
  <si>
    <t>Ngân sách cấp huyện</t>
  </si>
  <si>
    <t>Ngân sách</t>
  </si>
  <si>
    <t>xã</t>
  </si>
  <si>
    <t>CHI CÂN ĐỐI NGÂN SÁCH HUYỆN</t>
  </si>
  <si>
    <t>Chi đầu tư cho các dự án</t>
  </si>
  <si>
    <t>Trong đó chia theo lĩnh vực:</t>
  </si>
  <si>
    <t>Chi giáo dục - đào tạo và dạy nghề</t>
  </si>
  <si>
    <t>Chi khoa học và công nghệ</t>
  </si>
  <si>
    <t>Trong đó chia theo nguồn vốn:</t>
  </si>
  <si>
    <t>Chi đầu tư từ nguồn thu tiền sử dụng đất</t>
  </si>
  <si>
    <t>Chi đầu tư từ nguồn thu xổ số kiến thiết</t>
  </si>
  <si>
    <t>Chi đầu tư phát triển khác</t>
  </si>
  <si>
    <t>Trong đó:</t>
  </si>
  <si>
    <t>CHI CÁC CHƯƠNG TRÌNH MỤC TIÊU</t>
  </si>
  <si>
    <t>(Chi tiết theo từng chương trình mục tiêu quốc gia)</t>
  </si>
  <si>
    <t>(Chi tiết theo từng chương trình mục tiêu nhiệm vụ)</t>
  </si>
  <si>
    <t>C</t>
  </si>
  <si>
    <t>CHI CHUYỂN NGUỒN SANG NĂM SAU</t>
  </si>
  <si>
    <t>Dự toán</t>
  </si>
  <si>
    <t xml:space="preserve">CHI BỔ SUNG CÂN ĐỐI CHO NGÂN SÁCH XÃ </t>
  </si>
  <si>
    <t>CHI NGÂN SÁCH CẤP HUYỆN THEO LĨNH VỰC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</si>
  <si>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</si>
  <si>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</si>
  <si>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</si>
  <si>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</si>
  <si>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</si>
  <si>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</si>
  <si>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</si>
  <si>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</si>
  <si>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 xml:space="preserve">Dự phòng ngân sách </t>
  </si>
  <si>
    <t xml:space="preserve">Chi tạo nguồn, điều chỉnh tiền lương </t>
  </si>
  <si>
    <t>TÊN ĐƠN VỊ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</si>
  <si>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</si>
  <si>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</si>
  <si>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</si>
  <si>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</si>
  <si>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SỐ</t>
  </si>
  <si>
    <t>CHI ĐẦU TƯ PHÁT TRIỂN</t>
  </si>
  <si>
    <t>CHI THƯỜNG XUYÊN</t>
  </si>
  <si>
    <t>CÁC CƠ QUAN, TỔ CHỨC</t>
  </si>
  <si>
    <t>V</t>
  </si>
  <si>
    <t>Stt</t>
  </si>
  <si>
    <t>Tên đơn vị</t>
  </si>
  <si>
    <t>Tổng thu NSNN trên địa bàn</t>
  </si>
  <si>
    <t>Thu ngân sách xã được hưởng theo phân cấp</t>
  </si>
  <si>
    <t>Số bổ sung cân đối từ ngân sách cấp huyện</t>
  </si>
  <si>
    <t>Tổng chi cân đối ngân sách xã</t>
  </si>
  <si>
    <t>Tổng số</t>
  </si>
  <si>
    <t>Thu ngân sách xã hưởng 100%</t>
  </si>
  <si>
    <t xml:space="preserve">Thu ngân sách xã hưởng từ các khoản thu phân chia 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</si>
  <si>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</si>
  <si>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</si>
  <si>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</si>
  <si>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Trong đó</t>
  </si>
  <si>
    <t>Biểu số 81/CK-NSNN</t>
  </si>
  <si>
    <t>(Dự toán đã được Hội đồng nhân dân quyết định)</t>
  </si>
  <si>
    <t>Biểu số 82/CK-NSNN</t>
  </si>
  <si>
    <t xml:space="preserve">Dự toán </t>
  </si>
  <si>
    <t>Biểu số 83/CK-NSNN</t>
  </si>
  <si>
    <t>Tổng thu NSNN</t>
  </si>
  <si>
    <t>Thu NS huyện</t>
  </si>
  <si>
    <t xml:space="preserve">Thu từ khu vực DNNN do Địa phương quản lý </t>
  </si>
  <si>
    <t>Biểu số 84/CK-NSNN</t>
  </si>
  <si>
    <t>Biểu số 85/CK-NSNN</t>
  </si>
  <si>
    <t>Chi hoạt động của cơ quan quản lý hành chính, đảng, đoàn thể</t>
  </si>
  <si>
    <t>Biểu số 86/CK-NSNN</t>
  </si>
  <si>
    <t>Biểu số 87/CK-NSNN</t>
  </si>
  <si>
    <t>Biểu số 88/CK-NSNN</t>
  </si>
  <si>
    <t>Biểu số 89/CK-NSNN</t>
  </si>
  <si>
    <t>Số bổ sung thực hiện điều chỉnh tiền lương</t>
  </si>
  <si>
    <t>Biểu số 90/CK-NSNN</t>
  </si>
  <si>
    <t>1=2+3+4</t>
  </si>
  <si>
    <t>ỦY BAN NHÂN DÂN</t>
  </si>
  <si>
    <t>Phòng Tư Pháp</t>
  </si>
  <si>
    <t>Hội người cao tuổi</t>
  </si>
  <si>
    <t>Hội người mù</t>
  </si>
  <si>
    <t>Hội Khuyến học</t>
  </si>
  <si>
    <t>THÀNH PHỐ BIÊN HÒA</t>
  </si>
  <si>
    <t>Thu bổ sung có mục tiêu ( nguồn xổ sổ kiến thiết)</t>
  </si>
  <si>
    <t xml:space="preserve">    ỦY BAN NHÂN DÂN</t>
  </si>
  <si>
    <t>Thu Ngân sách huyện hưởng từ nhiệm vụ thu của tỉnh</t>
  </si>
  <si>
    <t>Thuế GTGT</t>
  </si>
  <si>
    <t>Thuế Tài nguyên</t>
  </si>
  <si>
    <t>Thu công thương nghiệp - Ngoài quốc doanh ( tỉnh thu huyện hưởng). Trong đó:</t>
  </si>
  <si>
    <t>Chi An ninh Quốc phòng</t>
  </si>
  <si>
    <t>Chi Khác</t>
  </si>
  <si>
    <t>D</t>
  </si>
  <si>
    <t>CHI TỪ NGUỒN THU ĐỂ LẠI QUẢN LÝ QUA NGÂN SÁCH</t>
  </si>
  <si>
    <t>( Dự toán đã được Hội đồng nhân dân quyết định)</t>
  </si>
  <si>
    <t>ĐVT: triệu đồng</t>
  </si>
  <si>
    <t>Đơn vị : Triệu đồng</t>
  </si>
  <si>
    <t xml:space="preserve">                                          Chi thường xuyên ( theo từng lĩnh vực )</t>
  </si>
  <si>
    <t>CHI ĐẦU TƯ PHÁT TRIỂN( KHÔNG KỂ CHƯƠNG TRÌNH MỤC TIÊU QUỐC GIA)</t>
  </si>
  <si>
    <t>CHI THƯỜNG XUYÊN( KHÔNG KỂ CHƯƠNG TRÌNH MỤC TIÊU QUỐC GIA)</t>
  </si>
  <si>
    <t>CHI TẠO NGUỒN ĐIỀU CHỈNH TIỀN LƯƠNG</t>
  </si>
  <si>
    <t>Dự án 5 triệu ha rừng</t>
  </si>
  <si>
    <t>Chi Giáo dục - Đào tạo và dạy nghề</t>
  </si>
  <si>
    <t>Chi Khoa học và công nghệ</t>
  </si>
  <si>
    <t>Chi Y tế, dân số và Gia đình</t>
  </si>
  <si>
    <t>Chi Văn hóa - Thông tin</t>
  </si>
  <si>
    <t>Chi Thể dục, thể thao</t>
  </si>
  <si>
    <t>Chi hoạt động của cơ quan quản lý nhà nước, Đảng, Đoàn thể</t>
  </si>
  <si>
    <t>Chi đảm bảo xã hội</t>
  </si>
  <si>
    <t>Chi Quốc phòng - An ninh</t>
  </si>
  <si>
    <t>Chi khác</t>
  </si>
  <si>
    <t>Chi giao thông</t>
  </si>
  <si>
    <t>Chi địa chính</t>
  </si>
  <si>
    <t>Chi thị chính</t>
  </si>
  <si>
    <t>Chi công thương</t>
  </si>
  <si>
    <t>Chi nông nghiệp, lâm nghiệp, thủy lợi, thủy sản</t>
  </si>
  <si>
    <t>TỔNG CỘNG</t>
  </si>
  <si>
    <t xml:space="preserve"> * Khối Giáo dục</t>
  </si>
  <si>
    <t>MG Long Bình Tân</t>
  </si>
  <si>
    <t>MN Tam Hòa</t>
  </si>
  <si>
    <t>MN Tân Hòa</t>
  </si>
  <si>
    <t>MN Hóa An</t>
  </si>
  <si>
    <t>MN Tân Tiến</t>
  </si>
  <si>
    <t xml:space="preserve">MN Tân Vạn </t>
  </si>
  <si>
    <t>MN Hiệp Hòa</t>
  </si>
  <si>
    <t>MN Hoa Mai</t>
  </si>
  <si>
    <t>MN Bửu Long</t>
  </si>
  <si>
    <t>MG Tân Biên</t>
  </si>
  <si>
    <t>MN Hoa Hồng</t>
  </si>
  <si>
    <t>MN Bửu Hòa</t>
  </si>
  <si>
    <t>MN Hòa Bình</t>
  </si>
  <si>
    <t>MN Tân Phong</t>
  </si>
  <si>
    <t>MN Trảng Dài</t>
  </si>
  <si>
    <t>MN An Bình</t>
  </si>
  <si>
    <t>MN Quang Vinh</t>
  </si>
  <si>
    <t>MN Thanh Bình</t>
  </si>
  <si>
    <t>MN Bình Đa</t>
  </si>
  <si>
    <t>MG Trung Dũng</t>
  </si>
  <si>
    <t>MN Tam Hiệp</t>
  </si>
  <si>
    <t>MG Hố Nai</t>
  </si>
  <si>
    <t>MN Hoa Sen</t>
  </si>
  <si>
    <t>MN Tân Hạnh</t>
  </si>
  <si>
    <t>MN Hướng Dương</t>
  </si>
  <si>
    <t>MG Thanh Bình</t>
  </si>
  <si>
    <t xml:space="preserve">MN Tân Mai </t>
  </si>
  <si>
    <t>MG Long Hưng</t>
  </si>
  <si>
    <t>MN Hòa Hưng</t>
  </si>
  <si>
    <t>MN Phước Tân</t>
  </si>
  <si>
    <t>MN Tam Phước</t>
  </si>
  <si>
    <t>MN Long Bình</t>
  </si>
  <si>
    <t>MN Long Đức 3</t>
  </si>
  <si>
    <t>TH Hòa Bình</t>
  </si>
  <si>
    <t>TH Tam Hiệp B</t>
  </si>
  <si>
    <t>TH Võ Thị Sáu</t>
  </si>
  <si>
    <t>TH Trảng Dài</t>
  </si>
  <si>
    <t>TH Quang Vinh</t>
  </si>
  <si>
    <t>TH Phan Đình Phùng</t>
  </si>
  <si>
    <t>TH Nguyễn Du</t>
  </si>
  <si>
    <t>TH Hoàng Hoa Thám</t>
  </si>
  <si>
    <t>TH Trần Văn Ơn</t>
  </si>
  <si>
    <t>TH Chu Văn An</t>
  </si>
  <si>
    <t>TH Nguyễn Chí Thanh</t>
  </si>
  <si>
    <t>TH Nguyễn Tri Phương</t>
  </si>
  <si>
    <t>TH Nguyễn Huệ</t>
  </si>
  <si>
    <t>TH Long Bình Tân</t>
  </si>
  <si>
    <t>TH Phù Đổng</t>
  </si>
  <si>
    <t>TH Lê Thị Vân</t>
  </si>
  <si>
    <t>TH Bình Đa</t>
  </si>
  <si>
    <t>TH Phan Chu Trinh</t>
  </si>
  <si>
    <t xml:space="preserve">TH Tam Hiệp A </t>
  </si>
  <si>
    <t>TH An Bình</t>
  </si>
  <si>
    <t>TH Lê Văn Tám</t>
  </si>
  <si>
    <t>TH Phan Bội Châu</t>
  </si>
  <si>
    <t>TH Hiệp Hòa</t>
  </si>
  <si>
    <t>TH Tân Tiến</t>
  </si>
  <si>
    <t>TH Hóa An</t>
  </si>
  <si>
    <t>TH Tân Hạnh</t>
  </si>
  <si>
    <t>TH An Hảo</t>
  </si>
  <si>
    <t>TH Trần Quốc Toản</t>
  </si>
  <si>
    <t>TH Tam Hòa</t>
  </si>
  <si>
    <t>TH Tân Phong A</t>
  </si>
  <si>
    <t>TH Nguyễn Khắc Hiếu</t>
  </si>
  <si>
    <t>TH Kim Đồng</t>
  </si>
  <si>
    <t>TH Lý Thường Kiệt</t>
  </si>
  <si>
    <t>TH Tân Mai 1</t>
  </si>
  <si>
    <t>TH Trịnh Hoài Đức</t>
  </si>
  <si>
    <t>TH Trần Quốc Tuấn</t>
  </si>
  <si>
    <t>TH Tân Phong B</t>
  </si>
  <si>
    <t>TH Nguyễn Đình Chiểu</t>
  </si>
  <si>
    <t>TH Nguyễn Thị Sáu</t>
  </si>
  <si>
    <t>TH Tam Phước 1</t>
  </si>
  <si>
    <t>TH Tam Phước 2</t>
  </si>
  <si>
    <t>TH Phước Tân</t>
  </si>
  <si>
    <t>TH Tân Cang</t>
  </si>
  <si>
    <t>TH Tân Mai 2</t>
  </si>
  <si>
    <t>TH Long Hưng</t>
  </si>
  <si>
    <t>TH An Hoà</t>
  </si>
  <si>
    <t>TH Nguyễn An Ninh</t>
  </si>
  <si>
    <t>TH Hà Huy Giáp</t>
  </si>
  <si>
    <t>TH Tam Phước 3</t>
  </si>
  <si>
    <t>TH Tam Phước 4</t>
  </si>
  <si>
    <t>THCS Tân Bửu</t>
  </si>
  <si>
    <t>THCS Tân An</t>
  </si>
  <si>
    <t>THCS Ng.Bỉnh Khiêm</t>
  </si>
  <si>
    <t>THCS Trần Hưng Đạo</t>
  </si>
  <si>
    <t>THCS Lý Tự Trọng</t>
  </si>
  <si>
    <t>THCS Lê Lợi</t>
  </si>
  <si>
    <t>THCS An Bình</t>
  </si>
  <si>
    <t>THCS Thống Nhất</t>
  </si>
  <si>
    <t>THCS Nguyễn Văn Trỗi</t>
  </si>
  <si>
    <t>THCS Tam Hòa</t>
  </si>
  <si>
    <t>THCS Bình Đa</t>
  </si>
  <si>
    <t>THCS Long Bình</t>
  </si>
  <si>
    <t>THCS Long Bình Tân</t>
  </si>
  <si>
    <t>THCS Ngô Gia Tự</t>
  </si>
  <si>
    <t>THCS Hiệp Hòa</t>
  </si>
  <si>
    <t>THCS Võ Trường Toản</t>
  </si>
  <si>
    <t>THCS Bùi Hữu Nghĩa</t>
  </si>
  <si>
    <t>THCS Hùng Vương</t>
  </si>
  <si>
    <t>THCS Lê Quang Định</t>
  </si>
  <si>
    <t>THCS Nguyễn Công Trứ</t>
  </si>
  <si>
    <t>THCS Hoàng Diệu</t>
  </si>
  <si>
    <t>THCS Tân Tiến</t>
  </si>
  <si>
    <t>THCS Tam Hiệp</t>
  </si>
  <si>
    <t>THCS Quyết Thắng</t>
  </si>
  <si>
    <t>THCS Trảng Dài</t>
  </si>
  <si>
    <t>THCS Phước Tân 1</t>
  </si>
  <si>
    <t>THCS Phước Tân 2</t>
  </si>
  <si>
    <t>THCS Tam Phước</t>
  </si>
  <si>
    <t>THCS Hòa Hưng</t>
  </si>
  <si>
    <t>THCS Hòa Bình</t>
  </si>
  <si>
    <t>THCS Trường Sa</t>
  </si>
  <si>
    <t>THCS Tân Hạnh</t>
  </si>
  <si>
    <t>THCS Hoàng Văn Thụ</t>
  </si>
  <si>
    <t>KP nghiệp vụ ngành THCS</t>
  </si>
  <si>
    <t>* Khối Quản lý hành chính</t>
  </si>
  <si>
    <t>Văn phòng HĐND-UBND</t>
  </si>
  <si>
    <t xml:space="preserve"> - Kinh phí đặc thù của UBND</t>
  </si>
  <si>
    <t xml:space="preserve"> - Hội đồng nhân dân</t>
  </si>
  <si>
    <t>Phòng Kinh tế</t>
  </si>
  <si>
    <t>Phòng Tài chính kế hoạch</t>
  </si>
  <si>
    <t>Phòng Quản lý Đô thị</t>
  </si>
  <si>
    <t>Phòng Giáo dục - Đào tạo</t>
  </si>
  <si>
    <t>Phòng Y tế</t>
  </si>
  <si>
    <t>Phòng Lao động TB-XH</t>
  </si>
  <si>
    <t xml:space="preserve"> * Kinh phí Ban VSTBPN</t>
  </si>
  <si>
    <t>Phòng Văn hóa -TT</t>
  </si>
  <si>
    <t>Phòng Tài nguyên MT</t>
  </si>
  <si>
    <t>Phòng Nội vụ</t>
  </si>
  <si>
    <t>Thanh tra Biên Hòa</t>
  </si>
  <si>
    <t>Thành ủy Biên Hòa</t>
  </si>
  <si>
    <t>Ủy Ban MTTQ TPBH</t>
  </si>
  <si>
    <t>Thành đoàn BH</t>
  </si>
  <si>
    <t xml:space="preserve"> * Kinh phí hè</t>
  </si>
  <si>
    <t>Hội Liên hiệp PN TPBH</t>
  </si>
  <si>
    <t>Hội Nông dân</t>
  </si>
  <si>
    <t>Hội Cựu Chiến binh</t>
  </si>
  <si>
    <t>Hội Chữ thập đỏ</t>
  </si>
  <si>
    <t>Hội chiến sỹ CM bị địch bắt tù đầy</t>
  </si>
  <si>
    <t>Hội Nạn nhân chất độc da cam</t>
  </si>
  <si>
    <t>Hội Luật gia</t>
  </si>
  <si>
    <t>* An ninh,Quốc phòng</t>
  </si>
  <si>
    <t>Công an</t>
  </si>
  <si>
    <t>Ban chỉ huy Quân sự thành phố</t>
  </si>
  <si>
    <t>* Các đơn vị SN, khác</t>
  </si>
  <si>
    <t>Đài truyền thanh BH</t>
  </si>
  <si>
    <t>Trung tâm VHTT-TT</t>
  </si>
  <si>
    <t>Trung tâm Phát triển CCN&amp;DVCI</t>
  </si>
  <si>
    <t>Hạt Kiểm lâm</t>
  </si>
  <si>
    <t>Trung tâm Giáo dục NN-Giáo dục thường xuyên</t>
  </si>
  <si>
    <t>TT bồi dưỡng chính trị</t>
  </si>
  <si>
    <t>Hỗ trợ BQL Chợ Tân Phong</t>
  </si>
  <si>
    <t>Đội quản lý trật tự đô thị</t>
  </si>
  <si>
    <t>CHI BỔ SUNG CÓ MỤC TIÊU CHO NGÂN SÁCH XÃ</t>
  </si>
  <si>
    <t>CHI CHUYỂN NGUỒN SANG NĂM NGÂN SÁCH NĂM SAU</t>
  </si>
  <si>
    <t>Thu điều tiết tiền sử dụng đất</t>
  </si>
  <si>
    <t>Thu bổ sung có mục tiêu ( nguồn xổ số kiến thiết)</t>
  </si>
  <si>
    <t>Chi quản lý qua ngân sách</t>
  </si>
  <si>
    <t xml:space="preserve">Thu nội địa </t>
  </si>
  <si>
    <t>TỔNG THU NGÂN SÁCH NHÀ NƯỚC( I+II+III+IV)</t>
  </si>
  <si>
    <t>Chi từ nguồn thu đẻ lại quản lý qua ngân sách</t>
  </si>
  <si>
    <t>- Phí lệ phí do cơ quan nhà nước địa phương thu</t>
  </si>
  <si>
    <t>Trong cân đối</t>
  </si>
  <si>
    <t>DỰ TOÁN CHI THƯỜNG XUYÊN CỦA NGÂN SÁCH THÀNH PHỐ BIÊN HÒA</t>
  </si>
  <si>
    <t>TH Phước Tân 2</t>
  </si>
  <si>
    <t>TH Nguyễn Thái học</t>
  </si>
  <si>
    <t>Chi giáo dục - đào tạo và tay nghề</t>
  </si>
  <si>
    <t>Chi phát thanh truyền hình, thông tấn</t>
  </si>
  <si>
    <t>Chi hoạt động của cơ quan quản lý nhà nước, đảng đoàn thể</t>
  </si>
  <si>
    <t>Thu từ nguồn thu tại đơn vị</t>
  </si>
  <si>
    <t xml:space="preserve">Thu công thương nghiệp - Ngoài quốc doanh ( tỉnh thu huyện hưởng). </t>
  </si>
  <si>
    <t>Thu từ nguồn tại đơn vị ( nguồn CCTL)</t>
  </si>
  <si>
    <t xml:space="preserve">  MẦM NON</t>
  </si>
  <si>
    <t>TIỂU HỌC</t>
  </si>
  <si>
    <t>TRƯỜNG THCS</t>
  </si>
  <si>
    <t xml:space="preserve"> - Kinh phí ATGT</t>
  </si>
  <si>
    <t xml:space="preserve"> - Kinh phí khen thưởng của TP</t>
  </si>
  <si>
    <t>Kinh phí Đảng</t>
  </si>
  <si>
    <t>VI</t>
  </si>
  <si>
    <t>Khối đoàn thể</t>
  </si>
  <si>
    <t>Hội thanh niên xung phong</t>
  </si>
  <si>
    <t>Chi đầu tư XDCB</t>
  </si>
  <si>
    <t>+ Phí lệ phí các loại (hộ tịch, công chứng, chứng thực…</t>
  </si>
  <si>
    <t>THANH BÌNH</t>
  </si>
  <si>
    <t>+ Thu đóng góp tự nguyện của tổ chức, cá nhân</t>
  </si>
  <si>
    <t>HÒA BÌNH</t>
  </si>
  <si>
    <t xml:space="preserve"> thu khác</t>
  </si>
  <si>
    <t>TRUNG DŨNG</t>
  </si>
  <si>
    <t>QUANG VINH</t>
  </si>
  <si>
    <t>QUYẾT THẮNG</t>
  </si>
  <si>
    <t>%</t>
  </si>
  <si>
    <t>BỬU LONG</t>
  </si>
  <si>
    <t>BỬU HÒA</t>
  </si>
  <si>
    <t xml:space="preserve">+ Thuế sử dụng đất phi nông nghiệp </t>
  </si>
  <si>
    <t>TÂN VẠN</t>
  </si>
  <si>
    <t>+ Lệ phí môn bài</t>
  </si>
  <si>
    <t>TÂN PHONG</t>
  </si>
  <si>
    <t>+ Lệ phi trước bạ nhà, đất</t>
  </si>
  <si>
    <t>THỐNG NHẤT</t>
  </si>
  <si>
    <t>TÂN TIẾN</t>
  </si>
  <si>
    <t>TRẢNG DÀI</t>
  </si>
  <si>
    <t>TÂN MAI</t>
  </si>
  <si>
    <t>TÂN HIỆP</t>
  </si>
  <si>
    <t>TAM HIỆP</t>
  </si>
  <si>
    <t>TAM HÒA</t>
  </si>
  <si>
    <t>BÌNH ĐA</t>
  </si>
  <si>
    <t>AN BÌNH</t>
  </si>
  <si>
    <t>LONG BÌNH TÂN</t>
  </si>
  <si>
    <t>LONG BÌNH</t>
  </si>
  <si>
    <t>HỐ NAI</t>
  </si>
  <si>
    <t>TÂN BIÊN</t>
  </si>
  <si>
    <t>TÂN HÒA</t>
  </si>
  <si>
    <t>TÂN HẠNH</t>
  </si>
  <si>
    <t>HÓA AN</t>
  </si>
  <si>
    <t>HIỆP HÒA</t>
  </si>
  <si>
    <t>PHƯỚC TÂN</t>
  </si>
  <si>
    <t>AN HOÀ</t>
  </si>
  <si>
    <t>TAM PHƯỚC</t>
  </si>
  <si>
    <t>LONG HƯNG</t>
  </si>
  <si>
    <t xml:space="preserve">* Khối Quản lý hành chính </t>
  </si>
  <si>
    <t>Khối QLNN</t>
  </si>
  <si>
    <t>Khối Đoàn thể</t>
  </si>
  <si>
    <t>MN Thống Nhất</t>
  </si>
  <si>
    <t xml:space="preserve">TH Thống Nhất </t>
  </si>
  <si>
    <t>TH Tân Bửu</t>
  </si>
  <si>
    <t>THCS Tân Phong</t>
  </si>
  <si>
    <t>KP nghiệp vụ NVCM PGD</t>
  </si>
  <si>
    <t>KP nghiệp vụ ngành Tiểu học ( 070-072)</t>
  </si>
  <si>
    <t>KP nghiệp vụ ngành MN ( 070-071)</t>
  </si>
  <si>
    <t>Kinh phí sửa chữa hè</t>
  </si>
  <si>
    <t>Kinh phí khác ( nâng lương TX, tuyển GV mới…)</t>
  </si>
  <si>
    <t xml:space="preserve"> - Kinh phí thực hiện lương theo HĐ 161</t>
  </si>
  <si>
    <t>Trả nợ quyết toán</t>
  </si>
  <si>
    <t>Khối Tiểu học</t>
  </si>
  <si>
    <t xml:space="preserve"> Khối Mầm Non</t>
  </si>
  <si>
    <t>Khối THCS</t>
  </si>
  <si>
    <t>VII</t>
  </si>
  <si>
    <t>VIII</t>
  </si>
  <si>
    <t>E</t>
  </si>
  <si>
    <t>F</t>
  </si>
  <si>
    <t>Nguồn thu tại địa phương ( nguồn CCTL tại đơn vị)</t>
  </si>
  <si>
    <t>Số bổ sung mục tiêu từ ngân sách cấp trên</t>
  </si>
  <si>
    <t>Lệ phí trước bạ (100%)</t>
  </si>
  <si>
    <t>Thu phí, lệ phí (100%)</t>
  </si>
  <si>
    <t>Thu bổ sung từ ngân sách tỉnh</t>
  </si>
  <si>
    <t>Chi XDCB khác( hỗ trợ vốn ủy thác qua NHCSXH và quỹ hội Nông dân thành phố)</t>
  </si>
  <si>
    <t xml:space="preserve"> BHYT cho Học sinh </t>
  </si>
  <si>
    <t>Thuế Tiêu thụ đặc biệt hàng nội địa (50%)</t>
  </si>
  <si>
    <t>Thuế thu nhập doanh nghiệp (50%)</t>
  </si>
  <si>
    <t>Thuế thu nhập cá nhân (50%)</t>
  </si>
  <si>
    <t>Thuế bảo vệ môi trường (50%)</t>
  </si>
  <si>
    <t xml:space="preserve"> - Bổ sung cân đối</t>
  </si>
  <si>
    <t xml:space="preserve"> - Bổ sung có mục tiêu</t>
  </si>
  <si>
    <t>TÂN TiẾN</t>
  </si>
  <si>
    <t>TÂN HiỆP</t>
  </si>
  <si>
    <t>TAM HiỆP</t>
  </si>
  <si>
    <t>HiỆP HÒA</t>
  </si>
  <si>
    <t>Kinh phí miễn giảm học phí, hỗ trợ giáo viên, học sinh</t>
  </si>
  <si>
    <t>Chi phát thanh</t>
  </si>
  <si>
    <t>Số TT</t>
  </si>
  <si>
    <t>Ban Quản lý dự án TPBH</t>
  </si>
  <si>
    <t>UBND P Tam Hiệp</t>
  </si>
  <si>
    <t>UBND P Tân Hòa</t>
  </si>
  <si>
    <t>UBND P Bửu Hòa</t>
  </si>
  <si>
    <t>UBND P Tân Tiến</t>
  </si>
  <si>
    <t>Ban CHQS TPBH</t>
  </si>
  <si>
    <t>Biểu số 92/CK-NSNN</t>
  </si>
  <si>
    <t xml:space="preserve"> (Đvt: Triệu đồng)</t>
  </si>
  <si>
    <t>SỐ TT</t>
  </si>
  <si>
    <t>DANH MỤC CÔNG TRÌNH</t>
  </si>
  <si>
    <t>Địa điểm xây dựng</t>
  </si>
  <si>
    <t>Năng lực thiết kế</t>
  </si>
  <si>
    <t>Thời gian khởi công -hoàn thành</t>
  </si>
  <si>
    <t>Quyết định đầu tư</t>
  </si>
  <si>
    <t>Số QĐ</t>
  </si>
  <si>
    <t xml:space="preserve"> Ngày ký</t>
  </si>
  <si>
    <t>Tổng mức đầu tư được duyệt</t>
  </si>
  <si>
    <t>Chia theo nguồn vốn</t>
  </si>
  <si>
    <t>Ngoài nước</t>
  </si>
  <si>
    <t>Ngân sách cấp tỉnh</t>
  </si>
  <si>
    <t>Ngân sách thành phố</t>
  </si>
  <si>
    <t>NGUỒN NGÂN SÁCH TẬP TRUNG</t>
  </si>
  <si>
    <t>*</t>
  </si>
  <si>
    <t>CÁC CÔNG TRÌNH XÂY DỰNG TRƯỜNG LỚP</t>
  </si>
  <si>
    <t>Thực hiện dự án</t>
  </si>
  <si>
    <t>a</t>
  </si>
  <si>
    <t>Công trình chuyển tiếp</t>
  </si>
  <si>
    <t>b</t>
  </si>
  <si>
    <t>Công trình khởi công mới</t>
  </si>
  <si>
    <t>Xây dựng trường tiểu học Tân Hiệp, TP. Biên Hòa</t>
  </si>
  <si>
    <t>c</t>
  </si>
  <si>
    <t>Thực hiện công tác bồi thường GPMB</t>
  </si>
  <si>
    <t>Trường THCS Ngô Nhơn Tịnh thành phố Biên Hòa</t>
  </si>
  <si>
    <t>Trường tiểu học Long Bình Tân 2</t>
  </si>
  <si>
    <t>CÁC CÔNG TRÌNH GIAO THÔNG</t>
  </si>
  <si>
    <t>Xây dựng đường vào trường mầm non Tân Tiến và tiểu học Tân Tiến A, phường Tân Tiến, TP. Biên Hòa</t>
  </si>
  <si>
    <t>Gia cố bờ sông khu vực trụ T9 cầu Bửu Hòa</t>
  </si>
  <si>
    <t>Xây dựng đường nối từ đường Võ Thị Sáu sang đường Hưng Đạo Vương</t>
  </si>
  <si>
    <t>HẠ TẦNG, TÁI ĐỊNH CƯ</t>
  </si>
  <si>
    <t xml:space="preserve">Hạ tầng kỹ thuật khu tái định cư phường Thống Nhất và Tân Mai, thành phố Biên Hòa </t>
  </si>
  <si>
    <t>Khởi công mới</t>
  </si>
  <si>
    <t xml:space="preserve">Khu dân cư phục vụ tái định cư phường Tam Hiệp (9,4ha) </t>
  </si>
  <si>
    <t>NGUỒN XỔ SỐ KIẾN THIẾT</t>
  </si>
  <si>
    <t>Xây dựng Trường THCS Tân Hạnh</t>
  </si>
  <si>
    <t>Xây dựng Trường tiểu học Phan Đăng Lưu, thành phố Biên Hòa</t>
  </si>
  <si>
    <t>Xây dựng Trường mầm non Tân Vạn</t>
  </si>
  <si>
    <t>Trường Tiểu học Long Bình 1, thành phố Biên Hòa</t>
  </si>
  <si>
    <t>Chuẩn bị đầu tư</t>
  </si>
  <si>
    <t>Xây dựng  mới khối 4 phòng học, phòng họp, phòng hỗ trợ học tập và các công trình phụ trợ Trường tiểu học Tân Phong A</t>
  </si>
  <si>
    <t>Trường tiểu học Trảng Dài 4</t>
  </si>
  <si>
    <t>Xây dựng hoàn chỉnh Trường tiểu học Nguyễn Thái Học</t>
  </si>
  <si>
    <t>NGUÔN VỐN TIỀN SỬ DỤNG ĐẤT</t>
  </si>
  <si>
    <t>CÔNG TRÌNH TRẢ NỢ QUYẾT TOÁN</t>
  </si>
  <si>
    <t>Xây dựng mới đường vào trường THCS Tân Hiệp, phường Tân Hiệp, TP. Biên Hòa</t>
  </si>
  <si>
    <t>Xây dựng hệ thống thoát nước khu vực QL51 và Khu phố Bình Dương, phường Long Bình Tân</t>
  </si>
  <si>
    <t>Đường D23 theo quy hoạch (đường vào khu tập thể nhà máy dệt Thống Nhất)</t>
  </si>
  <si>
    <t>Đường nối từ khu dân cư phục vụ tái định cư phường Tam Hiệp 9,4ha ra đường Trần Quốc Toản</t>
  </si>
  <si>
    <t>Nâng cấp, mở rộng đường Nguyễn Tri Phương (giai đoạn 1), thành phố Biên Hòa</t>
  </si>
  <si>
    <t>Chỉnh trang hành lang suối Linh</t>
  </si>
  <si>
    <t>Đường vào trường THPT Nam Hà</t>
  </si>
  <si>
    <t>Xây dựng đường D10 tại phường Quang Vinh</t>
  </si>
  <si>
    <t>Đường theo quy hoạch D8 tại phường Quang Vinh</t>
  </si>
  <si>
    <t>Đường kết nối Huỳnh Văn Nghệ và đường ven sông Đồng Nai (đường Nguyễn Bỉnh Khiêm nối dài)</t>
  </si>
  <si>
    <t>CÁC CÔNG TRÌNH QL NHÀ NƯỚC</t>
  </si>
  <si>
    <t>Xây dựng mới trụ sở Ban Chỉ huy quân sự thành phố Biên Hòa</t>
  </si>
  <si>
    <t>Xây dựng và mở rộng chợ Hóa An</t>
  </si>
  <si>
    <t>Cải tạo cảnh quan môi trường xung quanh Hồ điều hòa, P. Quang Vinh</t>
  </si>
  <si>
    <t>Bảo tồn, tôn tạo khu lăng mộ Trịnh Hoài Đức</t>
  </si>
  <si>
    <t>Xây dựng Trung tâm văn hóa thể thao và học tập cộng đồng phường Bửu Hòa</t>
  </si>
  <si>
    <t>Trụ sở bộ phận Tiếp nhận và Trả kết quả thành phố Biên Hòa và Trụ sở Ban Tiếp công dân thành phố</t>
  </si>
  <si>
    <t>Xây dựng khu DCPV TĐC phường Tân Hạnh 4,2ha</t>
  </si>
  <si>
    <t xml:space="preserve">Xây dựng hạ tầng Khu tái định cư tại phường Thống Nhất </t>
  </si>
  <si>
    <t xml:space="preserve">Hạ tầng khu tái định cư phường Thống Nhất và Tân Mai 2, thành phố Biên Hòa </t>
  </si>
  <si>
    <t>Hạ tầng Khu dân cư, thương mại và tái định cư 6,3ha phường Bửu Long</t>
  </si>
  <si>
    <t>Khu dân cư phục vụ tái định cư 2, phường Hiệp Hòa</t>
  </si>
  <si>
    <t>Xây dựng hạ tầng khu tái định cư 2 phường Tân Hiệp</t>
  </si>
  <si>
    <t>Hạ tầng khu tái định cư 2 phường Long Bình Tân</t>
  </si>
  <si>
    <t>Xây dựng hạ tầng khu dân cư và tái định cư phường Trảng Dài</t>
  </si>
  <si>
    <t>Trường tiểu học Quang Vinh</t>
  </si>
  <si>
    <t>Xây dựng, cải tạo Trường mầm non Long Bình Tân</t>
  </si>
  <si>
    <t>Xây dựng, cải tạo Trường mầm non Tân Mai (CS1)</t>
  </si>
  <si>
    <t>Xây dựng, cải tạo Trường mầm non Tân Hòa</t>
  </si>
  <si>
    <t>Xây dựng, cải tạo Trường tiểu học Nguyễn Tri Phương</t>
  </si>
  <si>
    <t>Xây dựng, cải tạo Trường tiểu học Lê Thị Vân</t>
  </si>
  <si>
    <t>Xây dựng, cải tạo Trường tiểu học Nguyễn Chí Thanh</t>
  </si>
  <si>
    <t>Xây dựng, cải tạo Trường tiểu học Phan Chu Trinh</t>
  </si>
  <si>
    <t>Xây dựng, cải tạo Trường THCS Hoàng Diệu</t>
  </si>
  <si>
    <t>Xây dựng, cải tạo Trường THCS Nguyễn Công Trứ</t>
  </si>
  <si>
    <t>Xây dựng, cải tạo Trường THCS Lý Tự Trọng</t>
  </si>
  <si>
    <t>Xây dựng, cải tạo Trường THCS Long Bình</t>
  </si>
  <si>
    <t>(Ban hành kèm theo Quyết định số  . . . . ./QĐ-UBND ngày . . . ./ .. .. /2024 của UBND thành phố Biên Hòa)</t>
  </si>
  <si>
    <t>CÂN ĐỐI NGUỒN THU, CHI DỰ TOÁN NGÂN SÁCH CẤP HUYỆN VÀ NGÂN SÁCH XÃ NĂM 2024</t>
  </si>
  <si>
    <t>DỰ TOÁN THU NGÂN SÁCH NHÀ NƯỚC NĂM 2024</t>
  </si>
  <si>
    <t>Dự toán năm 2024</t>
  </si>
  <si>
    <t>+ Kinh phí lương và hoạt động</t>
  </si>
  <si>
    <t xml:space="preserve"> - Kinh phí hỗ trợ tiền tết đảng viên</t>
  </si>
  <si>
    <t>CHO TỪNG  CƠ QUAN, TỔ CHỨC THEO LĨNH VỰC NĂM 2024</t>
  </si>
  <si>
    <t>Kinh phí khác (nâng lương TX, tuyển GV mới…)</t>
  </si>
  <si>
    <t>DỰ TOÁN THU, SỐ BỔ SUNG VÀ DỰ TOÁN CHI CÂN ĐỐI NGÂN SÁCH TỪNG XÃ NĂM 2024</t>
  </si>
  <si>
    <t>CÂN ĐỐI NGÂN SÁCH THÀNH PHÔ NĂM 2024</t>
  </si>
  <si>
    <t>DỰ TOÁN CHI NGÂN SÁCH CẤP THÀNH PHỐ THEO TỪNG LĨNH VỰC NĂM 2024</t>
  </si>
  <si>
    <t>DỰ TOÁN CHI NGÂN SÁCH CẤP THÀNH PHỐ CHO TỪNG CƠ QUAN, TỔ CHỨC NĂM 2024</t>
  </si>
  <si>
    <t>DỰ TOÁN CHI BỔ SUNG CÓ MỤC TIÊU TỪ NGÂN SÁCH CẤP THÀNH PHỐ CHO NGÂN SÁCH TỪNG PHƯỜNG XÃ NĂM 2023</t>
  </si>
  <si>
    <t>DANH MỤC CÁC CHƯƠNG TRÌNH, DỰ ÁN SỬ DỤNG VỐN NGÂN SÁCH NHÀ NƯỚC NĂM 2024</t>
  </si>
  <si>
    <t>Giá trị KL thực hiện từ khởi công đến 31/12/2023</t>
  </si>
  <si>
    <t>Lũy kế vốn đã bố trí đến 31/12/2023</t>
  </si>
  <si>
    <t>Kế hoạch vốn năm 2024</t>
  </si>
  <si>
    <t>TỔNG CỘNG (A+B+C+D)</t>
  </si>
  <si>
    <t>1</t>
  </si>
  <si>
    <t>Xây dựng thêm 24 phòng học + 04 phòng học bộ môn và các phòng hỗ trợ học tập Trường tiểu học Bình Đa</t>
  </si>
  <si>
    <t>13/10/2023</t>
  </si>
  <si>
    <t>2</t>
  </si>
  <si>
    <t>Xây dựng thêm 24 phòng học và khối hiệu bộ Trường tiểu học Tam Phước 2</t>
  </si>
  <si>
    <t>23/11/2021</t>
  </si>
  <si>
    <t>3</t>
  </si>
  <si>
    <t>3405</t>
  </si>
  <si>
    <t>4</t>
  </si>
  <si>
    <t>4839</t>
  </si>
  <si>
    <t>Nâng cấp Trường THCS Trảng Dài</t>
  </si>
  <si>
    <t>24/8/2023</t>
  </si>
  <si>
    <t>2869</t>
  </si>
  <si>
    <t>1000</t>
  </si>
  <si>
    <t>24/4/2023</t>
  </si>
  <si>
    <t>4473</t>
  </si>
  <si>
    <t>30/10/2019</t>
  </si>
  <si>
    <t>27/7/2018</t>
  </si>
  <si>
    <t>2484</t>
  </si>
  <si>
    <t>Trường mầm non Tân Phong</t>
  </si>
  <si>
    <t>2434</t>
  </si>
  <si>
    <t>13/9/2023</t>
  </si>
  <si>
    <t>2450</t>
  </si>
  <si>
    <t>15/9/2023</t>
  </si>
  <si>
    <t>811</t>
  </si>
  <si>
    <t>21/3/2023</t>
  </si>
  <si>
    <t>5</t>
  </si>
  <si>
    <t>6</t>
  </si>
  <si>
    <t>7</t>
  </si>
  <si>
    <t>10</t>
  </si>
  <si>
    <t>1530</t>
  </si>
  <si>
    <t>5163</t>
  </si>
  <si>
    <t>Sửa chữa, cải tạo hệ thống thoát nước dọc tuyến đường Bùi Trọng Nghĩa, phường Trảng Dài</t>
  </si>
  <si>
    <t>13714</t>
  </si>
  <si>
    <t>2762</t>
  </si>
  <si>
    <t>1991</t>
  </si>
  <si>
    <t>28/7/2023</t>
  </si>
  <si>
    <t>4618</t>
  </si>
  <si>
    <t>CT4469</t>
  </si>
  <si>
    <t>18/8/2020</t>
  </si>
  <si>
    <t>CT 3742</t>
  </si>
  <si>
    <t>NQ 19</t>
  </si>
  <si>
    <t>Xây dựng đường liên khu phố 3-4 phường Long Bình, thành phố Biên Hòa</t>
  </si>
  <si>
    <t>14/12/2022</t>
  </si>
  <si>
    <t>Nâng cấp, cải tạo Trụ sở Ban chỉ huy quân sự phường Tân Vạn</t>
  </si>
  <si>
    <t>5177</t>
  </si>
  <si>
    <t>NQ79</t>
  </si>
  <si>
    <t>24/7/2019</t>
  </si>
  <si>
    <t>Xây dựng Trụ sở Ban chỉ huy quân sự phường Tân Hòa, thành phố Biên Hòa</t>
  </si>
  <si>
    <t>2483</t>
  </si>
  <si>
    <t>5229</t>
  </si>
  <si>
    <t>NQ84</t>
  </si>
  <si>
    <t>27/8/2019</t>
  </si>
  <si>
    <t>NQ96</t>
  </si>
  <si>
    <t>NQ106</t>
  </si>
  <si>
    <t>31/8/2020</t>
  </si>
  <si>
    <t>Xây dựng hạ tầng khu tái định cư phường Tân Biên (dự án 2)</t>
  </si>
  <si>
    <t>Hạ tầng khu tái định cư 7,4 ha phường Bửu Long</t>
  </si>
  <si>
    <t>9</t>
  </si>
  <si>
    <t>Xây dựng thêm các phòng học bộ môn và hội trường THCS Ngô Gia Tự</t>
  </si>
  <si>
    <t>3411</t>
  </si>
  <si>
    <t>4840</t>
  </si>
  <si>
    <t>Mở rộng trường THCS Hòa Hưng tại phường An Hòa</t>
  </si>
  <si>
    <t>8</t>
  </si>
  <si>
    <t>CÔNG TRÌNH HẠ TẦNG CÔNG NGHỆ THÔNG TIN</t>
  </si>
  <si>
    <t>Xây dựng Trung tâm điều hành thông minh thành phố Biên Hòa</t>
  </si>
  <si>
    <t>4020</t>
  </si>
  <si>
    <t xml:space="preserve">CÁC DỰ ÁN HỔ TRỢ CÓ MỤC TIÊU CHO PHƯỜNG XÃ </t>
  </si>
  <si>
    <t>Xây dựng Nhà văn hoá khu phố Tam Hòa, phường Hiệp Hòa</t>
  </si>
  <si>
    <t>Sửa chữa Bộ phận một cửa và Hội trường UBND phường Phước Tân</t>
  </si>
  <si>
    <t>Sửa chữa Trụ sở UBND phường Tân Mai</t>
  </si>
  <si>
    <t>Sửa chữa Trụ sở UBND phường Hóa An</t>
  </si>
  <si>
    <t>Xây dựng Văn phòng khu phố 5 phường Tân Tiến</t>
  </si>
  <si>
    <t>Xây dựng Văn phòng khu phố 2 phường Tân Phong</t>
  </si>
  <si>
    <t>Sửa chữa Nhà Văn hóa khu phố Long Khánh 1</t>
  </si>
  <si>
    <t>Sửa chữa Nhà Văn hóa khu phố Long Khánh 3</t>
  </si>
  <si>
    <t>Xây dựng Nhà văn hóa khu phố Tân Mai, phường Phước Tân</t>
  </si>
  <si>
    <t xml:space="preserve">Sửa chữa nhà văn hóa khu phố Tân Cang </t>
  </si>
  <si>
    <t>Sửa chữa Nhà văn hóa khu phố Tân Lập</t>
  </si>
  <si>
    <t xml:space="preserve">Cải tạo, nâng cấp tuyến đường quanh nghĩa trang Giáo xứ Bùi Vĩnh, thuộc tổ 14, khu phố 4 phường Tam Hiệp </t>
  </si>
  <si>
    <t>DỰ TOÁN CHI ĐẦU TƯ PHÁT TRIỂN CỦA NGÂN SÁCH CẤP HUYỆN CHO TỪNG CƠ QUAN, TỔ CHỨC THEO LĨNH VỰC NĂM 2024</t>
  </si>
  <si>
    <t>UBND P Tân Vạn</t>
  </si>
  <si>
    <t>UBND P Hiệp Hòa</t>
  </si>
  <si>
    <t>UBND P Phước Tân</t>
  </si>
  <si>
    <t>UBND P Tân Mai</t>
  </si>
  <si>
    <t>UBND P Hóa An</t>
  </si>
  <si>
    <t>UBND P Tân Phong</t>
  </si>
  <si>
    <t>UBND P Tam Phước</t>
  </si>
  <si>
    <t>DỰ TOÁN CHI NGÂN SÁCH HUYỆN, CHI NGÂN SÁCH CẤP HUYỆN VÀ CHI NGÂN SÁCH XÃ 
THEO CƠ CẤU CHI NĂM 2024</t>
  </si>
  <si>
    <t>(Ban hành kèm theo Quyết định số  . . . . ./QĐ-UBND ngày . . . ./ .. .. /2024 
của UBND thành phố Biên Hòa)</t>
  </si>
  <si>
    <t>(Ban hành kèm theo Quyết định số  . . . . ./QĐ-UBND ngày . . . ./ .. .. /2023 
của UBND thành phố Biên Hòa)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</si>
</sst>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(* #,##0_);_(* \(#,##0\);_(* &quot;-&quot;_);_(@_)"/>
    <numFmt numFmtId="43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2" formatCode="_-* #,##0\ _$_-;_-* #,##0\ _$\-;_-* &quot;-&quot;??\ _$_-;_-@_-"/>
    <numFmt numFmtId="174" formatCode="_(* #,##0.0000_);_(* \(#,##0.0000\);_(* &quot;-&quot;??_);_(@_)"/>
    <numFmt numFmtId="175" formatCode="0\ \ \ \ "/>
    <numFmt numFmtId="176" formatCode="_(* #,##0.000000_);_(* \(#,##0.000000\);_(* &quot;-&quot;??_);_(@_)"/>
    <numFmt numFmtId="177" formatCode="_-* #,##0.0\ _F_-;\-* #,##0.0\ _F_-;_-* &quot;-&quot;??\ _F_-;_-@_-"/>
    <numFmt numFmtId="178" formatCode="_-* #,##0\ _F_-;\-* #,##0\ _F_-;_-* &quot;-&quot;??\ _F_-;_-@_-"/>
    <numFmt numFmtId="179" formatCode="0.00_)"/>
    <numFmt numFmtId="180" formatCode="_-&quot;$&quot;* #,##0.00_-;\-&quot;$&quot;* #,##0.00_-;_-&quot;$&quot;* &quot;-&quot;??_-;_-@_-"/>
    <numFmt numFmtId="181" formatCode="_-&quot;$&quot;* #,##0_-;\-&quot;$&quot;* #,##0_-;_-&quot;$&quot;* &quot;-&quot;_-;_-@_-"/>
    <numFmt numFmtId="182" formatCode="#,##0.00\ &quot;F&quot;;\-#,##0.00\ &quot;F&quot;"/>
    <numFmt numFmtId="183" formatCode="&quot;\&quot;#,##0;[Red]&quot;\&quot;&quot;\&quot;\-#,##0"/>
    <numFmt numFmtId="184" formatCode="_-* #,##0.00_-;\-* #,##0.00_-;_-* &quot;-&quot;??_-;_-@_-"/>
    <numFmt numFmtId="185" formatCode="_-* #,##0\ &quot;F&quot;_-;\-* #,##0\ &quot;F&quot;_-;_-* &quot;-&quot;\ &quot;F&quot;_-;_-@_-"/>
    <numFmt numFmtId="186" formatCode="&quot;\&quot;#,##0.00;[Red]&quot;\&quot;&quot;\&quot;&quot;\&quot;&quot;\&quot;&quot;\&quot;&quot;\&quot;\-#,##0.00"/>
    <numFmt numFmtId="187" formatCode="0.000"/>
    <numFmt numFmtId="188" formatCode="_(* #,##0.000_);_(* \(#,##0.000\);_(* &quot;-&quot;??_);_(@_)"/>
    <numFmt numFmtId="189" formatCode="&quot;$&quot;#,##0\ ;\(&quot;$&quot;#,##0\)"/>
    <numFmt numFmtId="190" formatCode="#,##0.00\ &quot;F&quot;;[Red]\-#,##0.00\ &quot;F&quot;"/>
    <numFmt numFmtId="191" formatCode="_-* #,##0_-;\-* #,##0_-;_-* &quot;-&quot;_-;_-@_-"/>
    <numFmt numFmtId="192" formatCode="#,##0;[Red]#,##0"/>
    <numFmt numFmtId="193" formatCode="_-* #,##0.00\ _V_N_D_-;\-* #,##0.00\ _V_N_D_-;_-* &quot;-&quot;??\ _V_N_D_-;_-@_-"/>
  </numFmts>
  <fonts count="70">
    <font>
      <sz val="12"/>
      <name val="Times New Roman"/>
    </font>
    <font>
      <sz val="12"/>
      <name val="Times New Roman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2"/>
      <name val="VNI-Times"/>
    </font>
    <font>
      <sz val="12"/>
      <name val="新細明體"/>
    </font>
    <font>
      <sz val="10"/>
      <name val="VNI-Helve-Condense"/>
    </font>
    <font>
      <sz val="10"/>
      <name val="???"/>
    </font>
    <font>
      <sz val="8"/>
      <name val="Arial"/>
      <family val="2"/>
    </font>
    <font>
      <sz val="12"/>
      <name val="¹UAAA¼"/>
    </font>
    <font>
      <b/>
      <i/>
      <sz val="16"/>
      <name val="Helv"/>
    </font>
    <font>
      <sz val="12"/>
      <name val="뼻뮝"/>
    </font>
    <font>
      <sz val="14"/>
      <name val="VnTime"/>
    </font>
    <font>
      <b/>
      <sz val="12"/>
      <name val="Helv"/>
    </font>
    <font>
      <sz val="13"/>
      <name val=".VnTime"/>
      <family val="2"/>
    </font>
    <font>
      <b/>
      <sz val="11"/>
      <name val="Helv"/>
    </font>
    <font>
      <sz val="10"/>
      <name val="굴림체"/>
    </font>
    <font>
      <b/>
      <sz val="10"/>
      <name val="Helv"/>
    </font>
    <font>
      <sz val="12"/>
      <name val="Arial Narrow"/>
      <family val="2"/>
    </font>
    <font>
      <b/>
      <u val="singleAccounting"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3"/>
      <color indexed="8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Courier New"/>
      <family val="3"/>
    </font>
    <font>
      <sz val="13"/>
      <color indexed="8"/>
      <name val="Arial"/>
      <family val="2"/>
    </font>
    <font>
      <b/>
      <u/>
      <sz val="13"/>
      <name val="Times New Roman"/>
      <family val="1"/>
    </font>
    <font>
      <b/>
      <u val="singleAccounting"/>
      <sz val="13"/>
      <name val="Times New Roman"/>
      <family val="1"/>
    </font>
    <font>
      <b/>
      <sz val="10"/>
      <name val="VNI-Times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Accounting"/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5">
    <xf numFmtId="0" fontId="0" fillId="0" borderId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7" fillId="0" borderId="0"/>
    <xf numFmtId="0" fontId="4" fillId="0" borderId="0"/>
    <xf numFmtId="1" fontId="32" fillId="0" borderId="1" applyBorder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9" fillId="0" borderId="0"/>
    <xf numFmtId="0" fontId="29" fillId="0" borderId="0"/>
    <xf numFmtId="0" fontId="37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57" fillId="0" borderId="0"/>
    <xf numFmtId="0" fontId="57" fillId="0" borderId="0"/>
    <xf numFmtId="2" fontId="24" fillId="0" borderId="0" applyFont="0" applyFill="0" applyBorder="0" applyAlignment="0" applyProtection="0"/>
    <xf numFmtId="0" fontId="28" fillId="2" borderId="0" applyNumberFormat="0" applyBorder="0" applyAlignment="0" applyProtection="0"/>
    <xf numFmtId="0" fontId="33" fillId="0" borderId="0">
      <alignment horizontal="left"/>
    </xf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176" fontId="24" fillId="0" borderId="0">
      <protection locked="0"/>
    </xf>
    <xf numFmtId="176" fontId="24" fillId="0" borderId="0">
      <protection locked="0"/>
    </xf>
    <xf numFmtId="0" fontId="28" fillId="2" borderId="1" applyNumberFormat="0" applyBorder="0" applyAlignment="0" applyProtection="0"/>
    <xf numFmtId="0" fontId="35" fillId="0" borderId="4"/>
    <xf numFmtId="179" fontId="30" fillId="0" borderId="0"/>
    <xf numFmtId="0" fontId="10" fillId="0" borderId="0"/>
    <xf numFmtId="0" fontId="42" fillId="0" borderId="0"/>
    <xf numFmtId="0" fontId="24" fillId="0" borderId="0"/>
    <xf numFmtId="0" fontId="4" fillId="0" borderId="0"/>
    <xf numFmtId="0" fontId="24" fillId="0" borderId="0" applyFont="0" applyFill="0" applyBorder="0" applyAlignment="0" applyProtection="0"/>
    <xf numFmtId="0" fontId="23" fillId="0" borderId="0"/>
    <xf numFmtId="10" fontId="2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/>
    <xf numFmtId="190" fontId="34" fillId="0" borderId="5">
      <alignment horizontal="right" vertical="center"/>
    </xf>
    <xf numFmtId="185" fontId="34" fillId="0" borderId="5">
      <alignment horizontal="center"/>
    </xf>
    <xf numFmtId="175" fontId="26" fillId="0" borderId="0"/>
    <xf numFmtId="182" fontId="34" fillId="0" borderId="1"/>
    <xf numFmtId="0" fontId="34" fillId="0" borderId="0" applyNumberFormat="0" applyBorder="0" applyAlignment="0" applyProtection="0">
      <alignment horizontal="centerContinuous"/>
      <protection locked="0"/>
    </xf>
    <xf numFmtId="3" fontId="32" fillId="0" borderId="0">
      <protection locked="0"/>
    </xf>
    <xf numFmtId="18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0" borderId="0"/>
    <xf numFmtId="0" fontId="25" fillId="0" borderId="0"/>
    <xf numFmtId="191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</cellStyleXfs>
  <cellXfs count="478"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 vertical="top"/>
    </xf>
    <xf numFmtId="0" fontId="13" fillId="0" borderId="0" xfId="0" applyFont="1"/>
    <xf numFmtId="0" fontId="14" fillId="0" borderId="0" xfId="0" applyFont="1"/>
    <xf numFmtId="172" fontId="14" fillId="0" borderId="0" xfId="18" applyNumberFormat="1" applyFont="1"/>
    <xf numFmtId="0" fontId="16" fillId="0" borderId="0" xfId="0" applyFont="1" applyAlignment="1"/>
    <xf numFmtId="0" fontId="14" fillId="0" borderId="6" xfId="0" applyFont="1" applyBorder="1"/>
    <xf numFmtId="172" fontId="14" fillId="0" borderId="0" xfId="18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0" applyNumberFormat="1" applyFont="1"/>
    <xf numFmtId="0" fontId="19" fillId="0" borderId="0" xfId="0" applyFont="1"/>
    <xf numFmtId="172" fontId="19" fillId="0" borderId="0" xfId="0" applyNumberFormat="1" applyFont="1"/>
    <xf numFmtId="172" fontId="19" fillId="0" borderId="0" xfId="18" applyNumberFormat="1" applyFont="1"/>
    <xf numFmtId="172" fontId="20" fillId="0" borderId="0" xfId="18" applyNumberFormat="1" applyFont="1"/>
    <xf numFmtId="0" fontId="17" fillId="0" borderId="0" xfId="0" applyFont="1" applyAlignment="1"/>
    <xf numFmtId="0" fontId="16" fillId="0" borderId="0" xfId="0" applyFont="1" applyAlignment="1">
      <alignment horizontal="center"/>
    </xf>
    <xf numFmtId="172" fontId="18" fillId="0" borderId="0" xfId="0" applyNumberFormat="1" applyFont="1"/>
    <xf numFmtId="3" fontId="19" fillId="0" borderId="0" xfId="18" applyNumberFormat="1" applyFont="1"/>
    <xf numFmtId="0" fontId="38" fillId="0" borderId="0" xfId="0" applyFont="1"/>
    <xf numFmtId="0" fontId="7" fillId="0" borderId="1" xfId="0" applyFont="1" applyBorder="1" applyAlignment="1">
      <alignment horizontal="center"/>
    </xf>
    <xf numFmtId="3" fontId="7" fillId="0" borderId="1" xfId="45" applyNumberFormat="1" applyFont="1" applyFill="1" applyBorder="1"/>
    <xf numFmtId="3" fontId="39" fillId="0" borderId="1" xfId="18" applyNumberFormat="1" applyFont="1" applyBorder="1"/>
    <xf numFmtId="0" fontId="9" fillId="0" borderId="7" xfId="0" applyFont="1" applyBorder="1"/>
    <xf numFmtId="3" fontId="9" fillId="0" borderId="0" xfId="0" applyNumberFormat="1" applyFont="1"/>
    <xf numFmtId="0" fontId="9" fillId="0" borderId="0" xfId="0" applyFont="1"/>
    <xf numFmtId="3" fontId="7" fillId="0" borderId="7" xfId="18" applyNumberFormat="1" applyFont="1" applyBorder="1"/>
    <xf numFmtId="3" fontId="9" fillId="0" borderId="7" xfId="19" applyNumberFormat="1" applyFont="1" applyBorder="1"/>
    <xf numFmtId="3" fontId="9" fillId="0" borderId="8" xfId="18" applyNumberFormat="1" applyFont="1" applyBorder="1"/>
    <xf numFmtId="3" fontId="9" fillId="0" borderId="8" xfId="18" applyNumberFormat="1" applyFont="1" applyBorder="1" applyAlignment="1">
      <alignment vertical="center"/>
    </xf>
    <xf numFmtId="0" fontId="9" fillId="0" borderId="8" xfId="0" applyFont="1" applyBorder="1"/>
    <xf numFmtId="172" fontId="9" fillId="0" borderId="8" xfId="18" applyNumberFormat="1" applyFont="1" applyBorder="1"/>
    <xf numFmtId="3" fontId="7" fillId="0" borderId="8" xfId="18" applyNumberFormat="1" applyFont="1" applyBorder="1"/>
    <xf numFmtId="3" fontId="9" fillId="0" borderId="8" xfId="19" applyNumberFormat="1" applyFont="1" applyBorder="1"/>
    <xf numFmtId="3" fontId="9" fillId="0" borderId="8" xfId="18" applyNumberFormat="1" applyFont="1" applyBorder="1" applyAlignment="1">
      <alignment wrapText="1"/>
    </xf>
    <xf numFmtId="3" fontId="9" fillId="0" borderId="9" xfId="18" applyNumberFormat="1" applyFont="1" applyBorder="1"/>
    <xf numFmtId="3" fontId="7" fillId="0" borderId="9" xfId="18" applyNumberFormat="1" applyFont="1" applyBorder="1"/>
    <xf numFmtId="0" fontId="9" fillId="0" borderId="9" xfId="0" applyFont="1" applyBorder="1"/>
    <xf numFmtId="0" fontId="9" fillId="0" borderId="1" xfId="0" applyFont="1" applyBorder="1"/>
    <xf numFmtId="0" fontId="7" fillId="0" borderId="1" xfId="0" applyFont="1" applyBorder="1"/>
    <xf numFmtId="3" fontId="39" fillId="0" borderId="8" xfId="18" applyNumberFormat="1" applyFont="1" applyBorder="1"/>
    <xf numFmtId="172" fontId="9" fillId="0" borderId="0" xfId="0" applyNumberFormat="1" applyFont="1"/>
    <xf numFmtId="3" fontId="9" fillId="0" borderId="7" xfId="18" applyNumberFormat="1" applyFont="1" applyBorder="1"/>
    <xf numFmtId="3" fontId="9" fillId="0" borderId="9" xfId="18" applyNumberFormat="1" applyFont="1" applyBorder="1" applyAlignment="1">
      <alignment vertical="center"/>
    </xf>
    <xf numFmtId="172" fontId="9" fillId="0" borderId="9" xfId="18" applyNumberFormat="1" applyFont="1" applyBorder="1"/>
    <xf numFmtId="0" fontId="40" fillId="0" borderId="1" xfId="0" applyFont="1" applyBorder="1"/>
    <xf numFmtId="172" fontId="39" fillId="0" borderId="1" xfId="18" applyNumberFormat="1" applyFont="1" applyBorder="1"/>
    <xf numFmtId="3" fontId="39" fillId="0" borderId="1" xfId="0" applyNumberFormat="1" applyFont="1" applyFill="1" applyBorder="1"/>
    <xf numFmtId="3" fontId="9" fillId="0" borderId="7" xfId="18" applyNumberFormat="1" applyFont="1" applyBorder="1" applyAlignment="1">
      <alignment vertical="center"/>
    </xf>
    <xf numFmtId="172" fontId="9" fillId="0" borderId="7" xfId="18" applyNumberFormat="1" applyFont="1" applyBorder="1"/>
    <xf numFmtId="3" fontId="7" fillId="0" borderId="1" xfId="18" applyNumberFormat="1" applyFont="1" applyBorder="1"/>
    <xf numFmtId="3" fontId="9" fillId="0" borderId="1" xfId="18" applyNumberFormat="1" applyFont="1" applyBorder="1"/>
    <xf numFmtId="0" fontId="9" fillId="0" borderId="8" xfId="0" applyFont="1" applyBorder="1" applyAlignment="1">
      <alignment vertical="center" wrapText="1"/>
    </xf>
    <xf numFmtId="3" fontId="9" fillId="0" borderId="8" xfId="18" applyNumberFormat="1" applyFont="1" applyBorder="1" applyAlignment="1">
      <alignment vertical="center" wrapText="1"/>
    </xf>
    <xf numFmtId="172" fontId="9" fillId="0" borderId="8" xfId="18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0" xfId="18" applyNumberFormat="1" applyFont="1" applyBorder="1"/>
    <xf numFmtId="0" fontId="9" fillId="0" borderId="10" xfId="0" applyFont="1" applyBorder="1"/>
    <xf numFmtId="0" fontId="41" fillId="0" borderId="8" xfId="0" applyFont="1" applyBorder="1"/>
    <xf numFmtId="0" fontId="9" fillId="0" borderId="11" xfId="0" applyFont="1" applyBorder="1"/>
    <xf numFmtId="0" fontId="9" fillId="0" borderId="1" xfId="0" applyFont="1" applyBorder="1" applyAlignment="1">
      <alignment vertical="center" wrapText="1"/>
    </xf>
    <xf numFmtId="3" fontId="39" fillId="3" borderId="1" xfId="18" applyNumberFormat="1" applyFont="1" applyFill="1" applyBorder="1"/>
    <xf numFmtId="169" fontId="14" fillId="0" borderId="0" xfId="18" applyNumberFormat="1" applyFont="1"/>
    <xf numFmtId="3" fontId="16" fillId="0" borderId="0" xfId="0" applyNumberFormat="1" applyFont="1" applyFill="1" applyBorder="1" applyAlignment="1">
      <alignment horizontal="left" vertical="center"/>
    </xf>
    <xf numFmtId="0" fontId="44" fillId="0" borderId="0" xfId="0" applyFont="1"/>
    <xf numFmtId="169" fontId="44" fillId="0" borderId="0" xfId="18" applyNumberFormat="1" applyFont="1"/>
    <xf numFmtId="3" fontId="45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9" fontId="47" fillId="0" borderId="0" xfId="18" applyNumberFormat="1" applyFont="1" applyAlignment="1">
      <alignment horizontal="right"/>
    </xf>
    <xf numFmtId="169" fontId="44" fillId="0" borderId="0" xfId="0" applyNumberFormat="1" applyFont="1"/>
    <xf numFmtId="0" fontId="48" fillId="0" borderId="0" xfId="0" applyFont="1" applyAlignment="1"/>
    <xf numFmtId="0" fontId="50" fillId="0" borderId="0" xfId="0" applyFont="1"/>
    <xf numFmtId="0" fontId="51" fillId="0" borderId="0" xfId="0" applyFont="1"/>
    <xf numFmtId="169" fontId="44" fillId="0" borderId="0" xfId="18" applyNumberFormat="1" applyFont="1" applyAlignment="1"/>
    <xf numFmtId="0" fontId="43" fillId="0" borderId="0" xfId="0" applyFont="1" applyAlignment="1">
      <alignment horizontal="right" vertical="top" wrapText="1"/>
    </xf>
    <xf numFmtId="0" fontId="49" fillId="0" borderId="0" xfId="0" applyFont="1"/>
    <xf numFmtId="172" fontId="44" fillId="0" borderId="0" xfId="18" applyNumberFormat="1" applyFont="1"/>
    <xf numFmtId="0" fontId="44" fillId="0" borderId="6" xfId="0" applyFont="1" applyBorder="1"/>
    <xf numFmtId="3" fontId="44" fillId="0" borderId="0" xfId="0" applyNumberFormat="1" applyFont="1"/>
    <xf numFmtId="0" fontId="44" fillId="0" borderId="0" xfId="0" applyFont="1" applyAlignment="1">
      <alignment horizontal="center"/>
    </xf>
    <xf numFmtId="172" fontId="44" fillId="0" borderId="0" xfId="18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16" fillId="0" borderId="3" xfId="0" applyFont="1" applyBorder="1" applyAlignment="1"/>
    <xf numFmtId="172" fontId="16" fillId="0" borderId="12" xfId="18" applyNumberFormat="1" applyFont="1" applyBorder="1" applyAlignment="1"/>
    <xf numFmtId="0" fontId="44" fillId="0" borderId="13" xfId="0" applyFont="1" applyBorder="1" applyAlignment="1">
      <alignment horizontal="center" vertical="center" wrapText="1"/>
    </xf>
    <xf numFmtId="0" fontId="44" fillId="0" borderId="1" xfId="0" applyFont="1" applyBorder="1"/>
    <xf numFmtId="0" fontId="52" fillId="0" borderId="1" xfId="0" applyFont="1" applyBorder="1" applyAlignment="1">
      <alignment horizontal="center"/>
    </xf>
    <xf numFmtId="3" fontId="53" fillId="0" borderId="1" xfId="0" applyNumberFormat="1" applyFont="1" applyFill="1" applyBorder="1"/>
    <xf numFmtId="0" fontId="16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3" fontId="53" fillId="0" borderId="14" xfId="0" applyNumberFormat="1" applyFont="1" applyFill="1" applyBorder="1"/>
    <xf numFmtId="0" fontId="44" fillId="0" borderId="14" xfId="0" applyFont="1" applyBorder="1"/>
    <xf numFmtId="0" fontId="52" fillId="0" borderId="14" xfId="0" applyFont="1" applyBorder="1"/>
    <xf numFmtId="3" fontId="53" fillId="0" borderId="1" xfId="18" applyNumberFormat="1" applyFont="1" applyBorder="1"/>
    <xf numFmtId="3" fontId="53" fillId="3" borderId="1" xfId="18" applyNumberFormat="1" applyFont="1" applyFill="1" applyBorder="1"/>
    <xf numFmtId="3" fontId="53" fillId="0" borderId="14" xfId="18" applyNumberFormat="1" applyFont="1" applyBorder="1"/>
    <xf numFmtId="3" fontId="53" fillId="0" borderId="15" xfId="18" applyNumberFormat="1" applyFont="1" applyBorder="1"/>
    <xf numFmtId="172" fontId="53" fillId="0" borderId="15" xfId="18" applyNumberFormat="1" applyFont="1" applyBorder="1"/>
    <xf numFmtId="0" fontId="44" fillId="0" borderId="15" xfId="0" applyFont="1" applyBorder="1"/>
    <xf numFmtId="0" fontId="16" fillId="0" borderId="1" xfId="0" applyFont="1" applyBorder="1" applyAlignment="1">
      <alignment horizontal="center"/>
    </xf>
    <xf numFmtId="3" fontId="16" fillId="0" borderId="1" xfId="45" applyNumberFormat="1" applyFont="1" applyFill="1" applyBorder="1"/>
    <xf numFmtId="3" fontId="53" fillId="0" borderId="7" xfId="18" applyNumberFormat="1" applyFont="1" applyBorder="1"/>
    <xf numFmtId="172" fontId="53" fillId="0" borderId="7" xfId="18" applyNumberFormat="1" applyFont="1" applyBorder="1"/>
    <xf numFmtId="0" fontId="44" fillId="0" borderId="7" xfId="0" applyFont="1" applyBorder="1"/>
    <xf numFmtId="3" fontId="16" fillId="0" borderId="7" xfId="18" applyNumberFormat="1" applyFont="1" applyBorder="1"/>
    <xf numFmtId="3" fontId="44" fillId="0" borderId="7" xfId="19" applyNumberFormat="1" applyFont="1" applyBorder="1"/>
    <xf numFmtId="3" fontId="44" fillId="0" borderId="8" xfId="18" applyNumberFormat="1" applyFont="1" applyBorder="1"/>
    <xf numFmtId="3" fontId="44" fillId="0" borderId="8" xfId="18" applyNumberFormat="1" applyFont="1" applyBorder="1" applyAlignment="1">
      <alignment vertical="center"/>
    </xf>
    <xf numFmtId="0" fontId="44" fillId="0" borderId="8" xfId="0" applyFont="1" applyBorder="1"/>
    <xf numFmtId="172" fontId="44" fillId="0" borderId="8" xfId="18" applyNumberFormat="1" applyFont="1" applyBorder="1"/>
    <xf numFmtId="3" fontId="16" fillId="0" borderId="8" xfId="18" applyNumberFormat="1" applyFont="1" applyBorder="1"/>
    <xf numFmtId="3" fontId="44" fillId="0" borderId="8" xfId="19" applyNumberFormat="1" applyFont="1" applyBorder="1"/>
    <xf numFmtId="3" fontId="44" fillId="0" borderId="8" xfId="18" applyNumberFormat="1" applyFont="1" applyBorder="1" applyAlignment="1">
      <alignment wrapText="1"/>
    </xf>
    <xf numFmtId="0" fontId="44" fillId="0" borderId="11" xfId="0" applyFont="1" applyBorder="1"/>
    <xf numFmtId="3" fontId="44" fillId="0" borderId="11" xfId="19" applyNumberFormat="1" applyFont="1" applyBorder="1"/>
    <xf numFmtId="0" fontId="44" fillId="0" borderId="9" xfId="0" applyFont="1" applyBorder="1"/>
    <xf numFmtId="3" fontId="44" fillId="0" borderId="9" xfId="19" applyNumberFormat="1" applyFont="1" applyBorder="1"/>
    <xf numFmtId="3" fontId="16" fillId="0" borderId="1" xfId="18" applyNumberFormat="1" applyFont="1" applyBorder="1"/>
    <xf numFmtId="3" fontId="44" fillId="0" borderId="1" xfId="19" applyNumberFormat="1" applyFont="1" applyBorder="1"/>
    <xf numFmtId="3" fontId="16" fillId="0" borderId="1" xfId="19" applyNumberFormat="1" applyFont="1" applyBorder="1"/>
    <xf numFmtId="3" fontId="44" fillId="0" borderId="7" xfId="18" applyNumberFormat="1" applyFont="1" applyBorder="1"/>
    <xf numFmtId="3" fontId="16" fillId="0" borderId="9" xfId="18" applyNumberFormat="1" applyFont="1" applyBorder="1"/>
    <xf numFmtId="3" fontId="44" fillId="0" borderId="9" xfId="18" applyNumberFormat="1" applyFont="1" applyBorder="1"/>
    <xf numFmtId="3" fontId="44" fillId="0" borderId="1" xfId="18" applyNumberFormat="1" applyFont="1" applyBorder="1"/>
    <xf numFmtId="0" fontId="16" fillId="0" borderId="1" xfId="0" applyFont="1" applyBorder="1"/>
    <xf numFmtId="3" fontId="53" fillId="0" borderId="8" xfId="18" applyNumberFormat="1" applyFont="1" applyBorder="1"/>
    <xf numFmtId="3" fontId="53" fillId="0" borderId="8" xfId="18" applyNumberFormat="1" applyFont="1" applyBorder="1" applyAlignment="1">
      <alignment vertical="center"/>
    </xf>
    <xf numFmtId="172" fontId="44" fillId="0" borderId="0" xfId="0" applyNumberFormat="1" applyFont="1"/>
    <xf numFmtId="0" fontId="48" fillId="0" borderId="8" xfId="0" applyFont="1" applyBorder="1"/>
    <xf numFmtId="0" fontId="48" fillId="0" borderId="8" xfId="0" quotePrefix="1" applyFont="1" applyBorder="1"/>
    <xf numFmtId="3" fontId="44" fillId="0" borderId="9" xfId="18" applyNumberFormat="1" applyFont="1" applyBorder="1" applyAlignment="1">
      <alignment vertical="center"/>
    </xf>
    <xf numFmtId="172" fontId="44" fillId="0" borderId="9" xfId="18" applyNumberFormat="1" applyFont="1" applyBorder="1"/>
    <xf numFmtId="0" fontId="52" fillId="0" borderId="1" xfId="0" applyFont="1" applyBorder="1"/>
    <xf numFmtId="172" fontId="53" fillId="0" borderId="1" xfId="18" applyNumberFormat="1" applyFont="1" applyBorder="1"/>
    <xf numFmtId="3" fontId="44" fillId="0" borderId="7" xfId="18" applyNumberFormat="1" applyFont="1" applyBorder="1" applyAlignment="1">
      <alignment vertical="center"/>
    </xf>
    <xf numFmtId="172" fontId="44" fillId="0" borderId="7" xfId="18" applyNumberFormat="1" applyFont="1" applyBorder="1"/>
    <xf numFmtId="0" fontId="44" fillId="0" borderId="8" xfId="0" applyFont="1" applyBorder="1" applyAlignment="1">
      <alignment vertical="center" wrapText="1"/>
    </xf>
    <xf numFmtId="3" fontId="44" fillId="0" borderId="8" xfId="18" applyNumberFormat="1" applyFont="1" applyBorder="1" applyAlignment="1">
      <alignment vertical="center" wrapText="1"/>
    </xf>
    <xf numFmtId="172" fontId="44" fillId="0" borderId="8" xfId="18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44" fillId="0" borderId="0" xfId="18" applyNumberFormat="1" applyFont="1" applyBorder="1"/>
    <xf numFmtId="3" fontId="44" fillId="0" borderId="0" xfId="18" applyNumberFormat="1" applyFont="1" applyBorder="1" applyAlignment="1">
      <alignment vertical="center"/>
    </xf>
    <xf numFmtId="0" fontId="44" fillId="0" borderId="0" xfId="0" applyFont="1" applyBorder="1"/>
    <xf numFmtId="172" fontId="44" fillId="0" borderId="0" xfId="18" applyNumberFormat="1" applyFont="1" applyBorder="1"/>
    <xf numFmtId="0" fontId="16" fillId="0" borderId="10" xfId="0" applyFont="1" applyBorder="1" applyAlignment="1">
      <alignment vertical="center" wrapText="1"/>
    </xf>
    <xf numFmtId="0" fontId="16" fillId="0" borderId="10" xfId="0" applyFont="1" applyBorder="1"/>
    <xf numFmtId="3" fontId="16" fillId="0" borderId="10" xfId="18" applyNumberFormat="1" applyFont="1" applyBorder="1"/>
    <xf numFmtId="3" fontId="44" fillId="0" borderId="10" xfId="18" applyNumberFormat="1" applyFont="1" applyBorder="1"/>
    <xf numFmtId="0" fontId="44" fillId="0" borderId="10" xfId="0" applyFont="1" applyBorder="1"/>
    <xf numFmtId="172" fontId="16" fillId="0" borderId="0" xfId="18" applyNumberFormat="1" applyFont="1"/>
    <xf numFmtId="0" fontId="7" fillId="0" borderId="5" xfId="0" applyFont="1" applyBorder="1" applyAlignment="1"/>
    <xf numFmtId="0" fontId="7" fillId="0" borderId="3" xfId="0" applyFont="1" applyBorder="1" applyAlignment="1"/>
    <xf numFmtId="172" fontId="7" fillId="0" borderId="12" xfId="18" applyNumberFormat="1" applyFont="1" applyBorder="1" applyAlignment="1"/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Fill="1" applyBorder="1"/>
    <xf numFmtId="0" fontId="40" fillId="0" borderId="1" xfId="0" applyFont="1" applyFill="1" applyBorder="1" applyAlignment="1">
      <alignment horizontal="center"/>
    </xf>
    <xf numFmtId="3" fontId="39" fillId="3" borderId="1" xfId="0" applyNumberFormat="1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9" fillId="0" borderId="15" xfId="0" applyFont="1" applyBorder="1"/>
    <xf numFmtId="3" fontId="9" fillId="0" borderId="1" xfId="18" applyNumberFormat="1" applyFont="1" applyBorder="1" applyAlignment="1">
      <alignment vertical="center"/>
    </xf>
    <xf numFmtId="172" fontId="9" fillId="0" borderId="1" xfId="18" applyNumberFormat="1" applyFont="1" applyBorder="1"/>
    <xf numFmtId="3" fontId="7" fillId="0" borderId="9" xfId="19" applyNumberFormat="1" applyFont="1" applyBorder="1"/>
    <xf numFmtId="3" fontId="7" fillId="0" borderId="11" xfId="18" applyNumberFormat="1" applyFont="1" applyBorder="1"/>
    <xf numFmtId="3" fontId="9" fillId="0" borderId="11" xfId="18" applyNumberFormat="1" applyFont="1" applyBorder="1"/>
    <xf numFmtId="3" fontId="9" fillId="0" borderId="11" xfId="18" applyNumberFormat="1" applyFont="1" applyBorder="1" applyAlignment="1">
      <alignment vertical="center"/>
    </xf>
    <xf numFmtId="172" fontId="9" fillId="0" borderId="11" xfId="18" applyNumberFormat="1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9" fillId="3" borderId="8" xfId="0" applyFont="1" applyFill="1" applyBorder="1"/>
    <xf numFmtId="0" fontId="9" fillId="3" borderId="0" xfId="0" applyFont="1" applyFill="1"/>
    <xf numFmtId="43" fontId="9" fillId="0" borderId="0" xfId="18" applyFont="1"/>
    <xf numFmtId="3" fontId="9" fillId="0" borderId="8" xfId="18" applyNumberFormat="1" applyFont="1" applyBorder="1" applyAlignment="1">
      <alignment horizontal="center" vertical="center"/>
    </xf>
    <xf numFmtId="3" fontId="9" fillId="0" borderId="10" xfId="18" applyNumberFormat="1" applyFont="1" applyBorder="1" applyAlignment="1">
      <alignment vertical="center"/>
    </xf>
    <xf numFmtId="172" fontId="9" fillId="0" borderId="10" xfId="18" applyNumberFormat="1" applyFont="1" applyBorder="1"/>
    <xf numFmtId="0" fontId="41" fillId="0" borderId="0" xfId="0" applyFont="1" applyAlignment="1"/>
    <xf numFmtId="9" fontId="9" fillId="0" borderId="0" xfId="0" applyNumberFormat="1" applyFont="1"/>
    <xf numFmtId="3" fontId="7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/>
    <xf numFmtId="3" fontId="9" fillId="0" borderId="16" xfId="19" quotePrefix="1" applyNumberFormat="1" applyFont="1" applyBorder="1" applyAlignment="1">
      <alignment horizontal="left" vertical="center"/>
    </xf>
    <xf numFmtId="3" fontId="54" fillId="3" borderId="17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left"/>
    </xf>
    <xf numFmtId="0" fontId="46" fillId="0" borderId="0" xfId="0" applyFont="1" applyAlignment="1">
      <alignment horizontal="right" vertical="top"/>
    </xf>
    <xf numFmtId="169" fontId="48" fillId="0" borderId="0" xfId="18" applyNumberFormat="1" applyFont="1" applyAlignment="1"/>
    <xf numFmtId="0" fontId="55" fillId="0" borderId="0" xfId="0" applyFont="1" applyAlignment="1">
      <alignment horizontal="right"/>
    </xf>
    <xf numFmtId="0" fontId="46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 applyAlignment="1">
      <alignment horizontal="center" vertical="center" wrapText="1"/>
    </xf>
    <xf numFmtId="169" fontId="46" fillId="0" borderId="1" xfId="18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6" fillId="0" borderId="1" xfId="0" applyFont="1" applyBorder="1" applyAlignment="1">
      <alignment horizontal="center" vertical="top" wrapText="1"/>
    </xf>
    <xf numFmtId="3" fontId="46" fillId="0" borderId="1" xfId="0" applyNumberFormat="1" applyFont="1" applyBorder="1" applyAlignment="1">
      <alignment horizontal="center" vertical="top" wrapText="1"/>
    </xf>
    <xf numFmtId="169" fontId="46" fillId="0" borderId="1" xfId="18" applyNumberFormat="1" applyFont="1" applyBorder="1" applyAlignment="1">
      <alignment horizontal="center" vertical="top" wrapText="1"/>
    </xf>
    <xf numFmtId="0" fontId="46" fillId="0" borderId="1" xfId="0" applyFont="1" applyBorder="1" applyAlignment="1">
      <alignment vertical="top" wrapText="1"/>
    </xf>
    <xf numFmtId="3" fontId="46" fillId="0" borderId="1" xfId="0" applyNumberFormat="1" applyFont="1" applyBorder="1" applyAlignment="1">
      <alignment vertical="top" wrapText="1"/>
    </xf>
    <xf numFmtId="169" fontId="46" fillId="0" borderId="1" xfId="18" applyNumberFormat="1" applyFont="1" applyBorder="1" applyAlignment="1">
      <alignment vertical="top" wrapText="1"/>
    </xf>
    <xf numFmtId="0" fontId="16" fillId="0" borderId="0" xfId="0" applyFont="1"/>
    <xf numFmtId="0" fontId="5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3" fontId="56" fillId="0" borderId="1" xfId="0" applyNumberFormat="1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169" fontId="56" fillId="0" borderId="1" xfId="18" applyNumberFormat="1" applyFont="1" applyBorder="1" applyAlignment="1">
      <alignment vertical="top" wrapText="1"/>
    </xf>
    <xf numFmtId="169" fontId="44" fillId="0" borderId="1" xfId="18" applyNumberFormat="1" applyFont="1" applyBorder="1"/>
    <xf numFmtId="0" fontId="63" fillId="0" borderId="0" xfId="0" applyFont="1"/>
    <xf numFmtId="3" fontId="63" fillId="0" borderId="0" xfId="0" applyNumberFormat="1" applyFont="1"/>
    <xf numFmtId="0" fontId="60" fillId="0" borderId="0" xfId="0" applyFont="1" applyAlignment="1">
      <alignment horizontal="right"/>
    </xf>
    <xf numFmtId="0" fontId="7" fillId="0" borderId="18" xfId="44" applyFont="1" applyBorder="1" applyAlignment="1">
      <alignment horizontal="center" vertical="center" wrapText="1"/>
    </xf>
    <xf numFmtId="0" fontId="7" fillId="0" borderId="1" xfId="44" applyFont="1" applyBorder="1" applyAlignment="1">
      <alignment horizontal="center" vertical="center" wrapText="1"/>
    </xf>
    <xf numFmtId="169" fontId="64" fillId="0" borderId="0" xfId="0" applyNumberFormat="1" applyFont="1"/>
    <xf numFmtId="3" fontId="7" fillId="0" borderId="18" xfId="44" applyNumberFormat="1" applyFont="1" applyBorder="1" applyAlignment="1">
      <alignment horizontal="right" vertical="center" wrapText="1"/>
    </xf>
    <xf numFmtId="0" fontId="9" fillId="0" borderId="18" xfId="44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/>
    </xf>
    <xf numFmtId="3" fontId="9" fillId="0" borderId="18" xfId="44" applyNumberFormat="1" applyFont="1" applyBorder="1" applyAlignment="1">
      <alignment horizontal="right" vertical="center" wrapText="1"/>
    </xf>
    <xf numFmtId="3" fontId="65" fillId="2" borderId="1" xfId="0" applyNumberFormat="1" applyFont="1" applyFill="1" applyBorder="1" applyAlignment="1">
      <alignment vertical="center"/>
    </xf>
    <xf numFmtId="0" fontId="9" fillId="0" borderId="1" xfId="44" applyFont="1" applyBorder="1"/>
    <xf numFmtId="0" fontId="65" fillId="0" borderId="1" xfId="0" applyFont="1" applyBorder="1"/>
    <xf numFmtId="0" fontId="66" fillId="0" borderId="1" xfId="0" applyFont="1" applyBorder="1"/>
    <xf numFmtId="0" fontId="9" fillId="0" borderId="1" xfId="44" applyFont="1" applyBorder="1" applyAlignment="1">
      <alignment horizontal="left"/>
    </xf>
    <xf numFmtId="0" fontId="11" fillId="3" borderId="0" xfId="0" applyFont="1" applyFill="1" applyAlignment="1">
      <alignment vertical="center"/>
    </xf>
    <xf numFmtId="1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192" fontId="14" fillId="3" borderId="6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192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92" fontId="9" fillId="3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3" fontId="44" fillId="3" borderId="8" xfId="18" applyNumberFormat="1" applyFont="1" applyFill="1" applyBorder="1"/>
    <xf numFmtId="168" fontId="44" fillId="0" borderId="0" xfId="18" applyNumberFormat="1" applyFont="1"/>
    <xf numFmtId="3" fontId="44" fillId="0" borderId="7" xfId="0" applyNumberFormat="1" applyFont="1" applyFill="1" applyBorder="1" applyAlignment="1">
      <alignment horizontal="left" wrapText="1"/>
    </xf>
    <xf numFmtId="3" fontId="44" fillId="0" borderId="11" xfId="0" applyNumberFormat="1" applyFont="1" applyFill="1" applyBorder="1" applyAlignment="1">
      <alignment horizontal="left" wrapText="1"/>
    </xf>
    <xf numFmtId="3" fontId="16" fillId="0" borderId="1" xfId="0" applyNumberFormat="1" applyFont="1" applyFill="1" applyBorder="1" applyAlignment="1">
      <alignment horizontal="left" wrapText="1"/>
    </xf>
    <xf numFmtId="3" fontId="44" fillId="0" borderId="7" xfId="0" applyNumberFormat="1" applyFont="1" applyFill="1" applyBorder="1" applyAlignment="1">
      <alignment horizontal="left"/>
    </xf>
    <xf numFmtId="3" fontId="16" fillId="0" borderId="1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left"/>
    </xf>
    <xf numFmtId="3" fontId="61" fillId="3" borderId="1" xfId="18" applyNumberFormat="1" applyFont="1" applyFill="1" applyBorder="1"/>
    <xf numFmtId="192" fontId="7" fillId="3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top"/>
    </xf>
    <xf numFmtId="0" fontId="4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4" fillId="3" borderId="0" xfId="0" applyFont="1" applyFill="1" applyAlignment="1">
      <alignment horizontal="right" vertical="center"/>
    </xf>
    <xf numFmtId="0" fontId="62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7" fillId="3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69" fontId="9" fillId="3" borderId="0" xfId="23" applyNumberFormat="1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192" fontId="14" fillId="3" borderId="6" xfId="0" applyNumberFormat="1" applyFont="1" applyFill="1" applyBorder="1" applyAlignment="1">
      <alignment vertical="center"/>
    </xf>
    <xf numFmtId="3" fontId="62" fillId="3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192" fontId="7" fillId="0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9" fontId="7" fillId="2" borderId="1" xfId="2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2" borderId="1" xfId="23" applyNumberFormat="1" applyFont="1" applyFill="1" applyBorder="1" applyAlignment="1">
      <alignment horizontal="center" vertical="center" wrapText="1"/>
    </xf>
    <xf numFmtId="169" fontId="7" fillId="2" borderId="1" xfId="23" applyNumberFormat="1" applyFont="1" applyFill="1" applyBorder="1" applyAlignment="1">
      <alignment vertical="center" wrapText="1"/>
    </xf>
    <xf numFmtId="49" fontId="9" fillId="2" borderId="1" xfId="23" applyNumberFormat="1" applyFont="1" applyFill="1" applyBorder="1" applyAlignment="1">
      <alignment horizontal="center" vertical="center" wrapText="1"/>
    </xf>
    <xf numFmtId="169" fontId="9" fillId="2" borderId="1" xfId="23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9" fontId="9" fillId="2" borderId="1" xfId="20" applyNumberFormat="1" applyFont="1" applyFill="1" applyBorder="1" applyAlignment="1">
      <alignment horizontal="right" vertical="center" wrapText="1"/>
    </xf>
    <xf numFmtId="169" fontId="9" fillId="0" borderId="1" xfId="20" applyNumberFormat="1" applyFont="1" applyFill="1" applyBorder="1" applyAlignment="1">
      <alignment horizontal="right" vertical="center" wrapText="1"/>
    </xf>
    <xf numFmtId="169" fontId="44" fillId="0" borderId="1" xfId="20" applyNumberFormat="1" applyFont="1" applyFill="1" applyBorder="1" applyAlignment="1">
      <alignment horizontal="right" vertical="center" wrapText="1"/>
    </xf>
    <xf numFmtId="49" fontId="9" fillId="2" borderId="1" xfId="30" applyNumberFormat="1" applyFont="1" applyFill="1" applyBorder="1" applyAlignment="1">
      <alignment horizontal="center" vertical="center" wrapText="1"/>
    </xf>
    <xf numFmtId="14" fontId="9" fillId="2" borderId="1" xfId="30" applyNumberFormat="1" applyFont="1" applyFill="1" applyBorder="1" applyAlignment="1">
      <alignment horizontal="right" vertical="center" wrapText="1"/>
    </xf>
    <xf numFmtId="3" fontId="9" fillId="2" borderId="1" xfId="3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44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vertical="center" wrapText="1"/>
    </xf>
    <xf numFmtId="14" fontId="7" fillId="2" borderId="1" xfId="3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49" fontId="9" fillId="0" borderId="1" xfId="23" applyNumberFormat="1" applyFont="1" applyFill="1" applyBorder="1" applyAlignment="1">
      <alignment horizontal="center" vertical="center" wrapText="1"/>
    </xf>
    <xf numFmtId="169" fontId="9" fillId="0" borderId="1" xfId="23" applyNumberFormat="1" applyFont="1" applyFill="1" applyBorder="1" applyAlignment="1">
      <alignment vertical="center" wrapText="1"/>
    </xf>
    <xf numFmtId="192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30" applyNumberFormat="1" applyFont="1" applyFill="1" applyBorder="1" applyAlignment="1">
      <alignment horizontal="right" vertical="center" wrapText="1"/>
    </xf>
    <xf numFmtId="3" fontId="9" fillId="0" borderId="1" xfId="30" applyNumberFormat="1" applyFont="1" applyFill="1" applyBorder="1" applyAlignment="1">
      <alignment horizontal="right" vertical="center" wrapText="1"/>
    </xf>
    <xf numFmtId="3" fontId="44" fillId="0" borderId="1" xfId="0" applyNumberFormat="1" applyFont="1" applyFill="1" applyBorder="1" applyAlignment="1">
      <alignment vertical="center"/>
    </xf>
    <xf numFmtId="3" fontId="44" fillId="0" borderId="1" xfId="30" applyNumberFormat="1" applyFont="1" applyFill="1" applyBorder="1" applyAlignment="1">
      <alignment horizontal="right" vertical="center" wrapText="1"/>
    </xf>
    <xf numFmtId="0" fontId="9" fillId="0" borderId="1" xfId="3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/>
    </xf>
    <xf numFmtId="49" fontId="7" fillId="2" borderId="1" xfId="30" applyNumberFormat="1" applyFont="1" applyFill="1" applyBorder="1" applyAlignment="1">
      <alignment horizontal="center" vertical="center" wrapText="1"/>
    </xf>
    <xf numFmtId="3" fontId="7" fillId="2" borderId="1" xfId="3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9" fillId="0" borderId="1" xfId="3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192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9" fillId="0" borderId="1" xfId="3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7" fillId="0" borderId="1" xfId="30" applyNumberFormat="1" applyFont="1" applyFill="1" applyBorder="1" applyAlignment="1">
      <alignment horizontal="right" vertical="center" wrapText="1"/>
    </xf>
    <xf numFmtId="3" fontId="16" fillId="0" borderId="1" xfId="3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1" xfId="30" applyNumberFormat="1" applyFont="1" applyFill="1" applyBorder="1" applyAlignment="1">
      <alignment horizontal="right" vertical="center" wrapText="1"/>
    </xf>
    <xf numFmtId="14" fontId="7" fillId="0" borderId="1" xfId="30" applyNumberFormat="1" applyFont="1" applyFill="1" applyBorder="1" applyAlignment="1">
      <alignment horizontal="right" vertical="center" wrapText="1"/>
    </xf>
    <xf numFmtId="38" fontId="9" fillId="0" borderId="1" xfId="0" applyNumberFormat="1" applyFont="1" applyFill="1" applyBorder="1" applyAlignment="1">
      <alignment horizontal="right" vertical="center" wrapText="1"/>
    </xf>
    <xf numFmtId="3" fontId="44" fillId="0" borderId="1" xfId="0" applyNumberFormat="1" applyFont="1" applyFill="1" applyBorder="1" applyAlignment="1">
      <alignment vertical="center" wrapText="1"/>
    </xf>
    <xf numFmtId="3" fontId="62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3" fontId="62" fillId="2" borderId="1" xfId="30" applyNumberFormat="1" applyFont="1" applyFill="1" applyBorder="1" applyAlignment="1">
      <alignment horizontal="right" vertical="center" wrapText="1"/>
    </xf>
    <xf numFmtId="14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49" fontId="9" fillId="0" borderId="1" xfId="31" applyNumberFormat="1" applyFont="1" applyFill="1" applyBorder="1" applyAlignment="1">
      <alignment horizontal="center" vertical="center" wrapText="1"/>
    </xf>
    <xf numFmtId="14" fontId="9" fillId="0" borderId="1" xfId="31" applyNumberFormat="1" applyFont="1" applyFill="1" applyBorder="1" applyAlignment="1">
      <alignment horizontal="center" vertical="center" wrapText="1"/>
    </xf>
    <xf numFmtId="3" fontId="9" fillId="0" borderId="1" xfId="3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9" fontId="9" fillId="3" borderId="1" xfId="23" applyNumberFormat="1" applyFont="1" applyFill="1" applyBorder="1" applyAlignment="1">
      <alignment vertical="center"/>
    </xf>
    <xf numFmtId="169" fontId="62" fillId="2" borderId="1" xfId="23" applyNumberFormat="1" applyFont="1" applyFill="1" applyBorder="1" applyAlignment="1">
      <alignment vertical="center" wrapText="1"/>
    </xf>
    <xf numFmtId="169" fontId="62" fillId="0" borderId="1" xfId="23" applyNumberFormat="1" applyFont="1" applyFill="1" applyBorder="1" applyAlignment="1">
      <alignment vertical="center" wrapText="1"/>
    </xf>
    <xf numFmtId="169" fontId="68" fillId="0" borderId="1" xfId="23" applyNumberFormat="1" applyFont="1" applyFill="1" applyBorder="1" applyAlignment="1">
      <alignment vertical="center" wrapText="1"/>
    </xf>
    <xf numFmtId="169" fontId="65" fillId="0" borderId="1" xfId="20" applyNumberFormat="1" applyFont="1" applyBorder="1"/>
    <xf numFmtId="0" fontId="9" fillId="0" borderId="1" xfId="44" applyFont="1" applyBorder="1" applyAlignment="1">
      <alignment horizontal="left" wrapText="1"/>
    </xf>
    <xf numFmtId="0" fontId="4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172" fontId="44" fillId="0" borderId="14" xfId="18" applyNumberFormat="1" applyFont="1" applyBorder="1" applyAlignment="1">
      <alignment horizontal="center" vertical="center" wrapText="1"/>
    </xf>
    <xf numFmtId="172" fontId="44" fillId="0" borderId="18" xfId="18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14" xfId="44" applyFont="1" applyBorder="1" applyAlignment="1">
      <alignment horizontal="center" vertical="center" wrapText="1"/>
    </xf>
    <xf numFmtId="0" fontId="7" fillId="0" borderId="11" xfId="44" applyFont="1" applyBorder="1" applyAlignment="1">
      <alignment horizontal="center" vertical="center" wrapText="1"/>
    </xf>
    <xf numFmtId="0" fontId="7" fillId="0" borderId="18" xfId="44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1" xfId="44" applyFont="1" applyBorder="1" applyAlignment="1">
      <alignment horizontal="center"/>
    </xf>
    <xf numFmtId="0" fontId="58" fillId="0" borderId="0" xfId="0" applyFont="1" applyAlignment="1">
      <alignment horizontal="center"/>
    </xf>
    <xf numFmtId="0" fontId="7" fillId="0" borderId="5" xfId="44" applyFont="1" applyBorder="1" applyAlignment="1">
      <alignment horizontal="center"/>
    </xf>
    <xf numFmtId="0" fontId="7" fillId="0" borderId="3" xfId="44" applyFont="1" applyBorder="1" applyAlignment="1">
      <alignment horizontal="center"/>
    </xf>
    <xf numFmtId="0" fontId="7" fillId="0" borderId="12" xfId="44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2" fontId="9" fillId="0" borderId="14" xfId="18" applyNumberFormat="1" applyFont="1" applyBorder="1" applyAlignment="1">
      <alignment horizontal="center" vertical="center" wrapText="1"/>
    </xf>
    <xf numFmtId="172" fontId="9" fillId="0" borderId="18" xfId="18" applyNumberFormat="1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23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3" xfId="0" quotePrefix="1" applyFont="1" applyBorder="1" applyAlignment="1">
      <alignment horizontal="left" vertical="center" wrapText="1"/>
    </xf>
    <xf numFmtId="0" fontId="9" fillId="0" borderId="0" xfId="0" quotePrefix="1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192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192" fontId="7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169" fontId="16" fillId="0" borderId="1" xfId="18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169" fontId="16" fillId="0" borderId="1" xfId="18" applyNumberFormat="1" applyFont="1" applyBorder="1" applyAlignment="1">
      <alignment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vertical="top" wrapText="1"/>
    </xf>
    <xf numFmtId="169" fontId="44" fillId="0" borderId="1" xfId="18" applyNumberFormat="1" applyFont="1" applyBorder="1" applyAlignment="1">
      <alignment vertical="top" wrapText="1"/>
    </xf>
    <xf numFmtId="0" fontId="55" fillId="0" borderId="0" xfId="0" applyFont="1" applyAlignment="1">
      <alignment horizontal="center"/>
    </xf>
    <xf numFmtId="169" fontId="46" fillId="0" borderId="0" xfId="18" applyNumberFormat="1" applyFont="1" applyAlignment="1">
      <alignment horizontal="right" vertical="top" wrapText="1"/>
    </xf>
    <xf numFmtId="169" fontId="16" fillId="0" borderId="1" xfId="18" applyNumberFormat="1" applyFont="1" applyBorder="1" applyAlignment="1">
      <alignment horizontal="center" vertical="top" wrapText="1"/>
    </xf>
    <xf numFmtId="169" fontId="44" fillId="0" borderId="1" xfId="18" applyNumberFormat="1" applyFont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69" fontId="16" fillId="3" borderId="1" xfId="18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wrapText="1"/>
    </xf>
    <xf numFmtId="169" fontId="44" fillId="0" borderId="1" xfId="18" applyNumberFormat="1" applyFont="1" applyBorder="1" applyAlignment="1">
      <alignment horizontal="center" wrapText="1"/>
    </xf>
    <xf numFmtId="0" fontId="44" fillId="0" borderId="1" xfId="0" quotePrefix="1" applyFont="1" applyBorder="1" applyAlignment="1">
      <alignment horizontal="center" wrapText="1"/>
    </xf>
    <xf numFmtId="0" fontId="48" fillId="0" borderId="1" xfId="0" quotePrefix="1" applyFont="1" applyBorder="1" applyAlignment="1">
      <alignment wrapText="1"/>
    </xf>
    <xf numFmtId="0" fontId="48" fillId="0" borderId="1" xfId="0" applyFont="1" applyBorder="1" applyAlignment="1">
      <alignment wrapText="1"/>
    </xf>
    <xf numFmtId="169" fontId="46" fillId="0" borderId="0" xfId="18" applyNumberFormat="1" applyFont="1" applyAlignment="1">
      <alignment horizontal="right" vertical="center"/>
    </xf>
    <xf numFmtId="169" fontId="46" fillId="0" borderId="0" xfId="18" applyNumberFormat="1" applyFont="1" applyAlignment="1">
      <alignment horizontal="right" vertical="top"/>
    </xf>
    <xf numFmtId="0" fontId="56" fillId="0" borderId="0" xfId="0" applyFont="1"/>
    <xf numFmtId="169" fontId="55" fillId="0" borderId="0" xfId="18" applyNumberFormat="1" applyFont="1" applyAlignment="1">
      <alignment horizontal="right"/>
    </xf>
    <xf numFmtId="0" fontId="16" fillId="0" borderId="1" xfId="0" applyFont="1" applyBorder="1" applyAlignment="1">
      <alignment horizontal="center" wrapText="1"/>
    </xf>
    <xf numFmtId="169" fontId="16" fillId="0" borderId="1" xfId="18" applyNumberFormat="1" applyFont="1" applyBorder="1" applyAlignment="1">
      <alignment horizontal="center" wrapText="1"/>
    </xf>
    <xf numFmtId="169" fontId="16" fillId="0" borderId="1" xfId="0" applyNumberFormat="1" applyFont="1" applyBorder="1" applyAlignment="1">
      <alignment vertical="top" wrapText="1"/>
    </xf>
    <xf numFmtId="169" fontId="44" fillId="0" borderId="1" xfId="0" applyNumberFormat="1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0" fontId="48" fillId="0" borderId="0" xfId="0" applyFont="1" applyAlignment="1">
      <alignment horizontal="center" wrapText="1"/>
    </xf>
    <xf numFmtId="3" fontId="16" fillId="0" borderId="0" xfId="0" applyNumberFormat="1" applyFont="1" applyFill="1" applyBorder="1" applyAlignment="1">
      <alignment vertical="center"/>
    </xf>
    <xf numFmtId="2" fontId="44" fillId="0" borderId="1" xfId="0" applyNumberFormat="1" applyFont="1" applyBorder="1" applyAlignment="1">
      <alignment horizontal="center" vertical="top" wrapText="1"/>
    </xf>
    <xf numFmtId="170" fontId="44" fillId="0" borderId="1" xfId="0" applyNumberFormat="1" applyFont="1" applyBorder="1" applyAlignment="1">
      <alignment horizontal="center" vertical="top" wrapText="1"/>
    </xf>
    <xf numFmtId="169" fontId="16" fillId="0" borderId="0" xfId="18" applyNumberFormat="1" applyFont="1" applyAlignment="1">
      <alignment horizontal="right" vertical="top" wrapText="1"/>
    </xf>
    <xf numFmtId="0" fontId="16" fillId="0" borderId="0" xfId="0" applyFont="1" applyAlignment="1">
      <alignment horizontal="center" wrapText="1"/>
    </xf>
    <xf numFmtId="169" fontId="48" fillId="0" borderId="0" xfId="18" applyNumberFormat="1" applyFont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4" fillId="0" borderId="5" xfId="0" applyFont="1" applyBorder="1"/>
    <xf numFmtId="3" fontId="9" fillId="0" borderId="7" xfId="0" applyNumberFormat="1" applyFont="1" applyFill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left" wrapText="1"/>
    </xf>
    <xf numFmtId="3" fontId="9" fillId="0" borderId="9" xfId="19" applyNumberFormat="1" applyFont="1" applyBorder="1"/>
    <xf numFmtId="3" fontId="7" fillId="0" borderId="1" xfId="0" applyNumberFormat="1" applyFont="1" applyFill="1" applyBorder="1" applyAlignment="1">
      <alignment horizontal="left" wrapText="1"/>
    </xf>
    <xf numFmtId="3" fontId="7" fillId="0" borderId="1" xfId="19" applyNumberFormat="1" applyFont="1" applyBorder="1"/>
    <xf numFmtId="3" fontId="9" fillId="0" borderId="7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left"/>
    </xf>
    <xf numFmtId="3" fontId="9" fillId="0" borderId="8" xfId="18" applyNumberFormat="1" applyFont="1" applyBorder="1" applyAlignment="1">
      <alignment horizontal="center"/>
    </xf>
  </cellXfs>
  <cellStyles count="7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_HOBONG" xfId="6"/>
    <cellStyle name="??_(????)??????" xfId="7"/>
    <cellStyle name="W_STDFOR" xfId="8"/>
    <cellStyle name="0" xfId="9"/>
    <cellStyle name="AeE­ [0]_INQUIRY ¿μ¾÷AßAø " xfId="10"/>
    <cellStyle name="AeE­_INQUIRY ¿µ¾÷AßAø " xfId="11"/>
    <cellStyle name="AÞ¸¶ [0]_INQUIRY ¿?¾÷AßAø " xfId="12"/>
    <cellStyle name="AÞ¸¶_INQUIRY ¿?¾÷AßAø " xfId="13"/>
    <cellStyle name="C?AØ_¿?¾÷CoE² " xfId="14"/>
    <cellStyle name="C￥AØ_¿μ¾÷CoE² " xfId="15"/>
    <cellStyle name="category" xfId="16"/>
    <cellStyle name="ColLevel_0" xfId="17"/>
    <cellStyle name="Comma" xfId="18" builtinId="3"/>
    <cellStyle name="Comma [0]" xfId="19" builtinId="6"/>
    <cellStyle name="Comma 10 10 10" xfId="20"/>
    <cellStyle name="Comma 11" xfId="21"/>
    <cellStyle name="Comma 2" xfId="22"/>
    <cellStyle name="Comma 2 2" xfId="23"/>
    <cellStyle name="Comma 3" xfId="24"/>
    <cellStyle name="Comma0" xfId="25"/>
    <cellStyle name="Currency0" xfId="26"/>
    <cellStyle name="Date" xfId="27"/>
    <cellStyle name="Dezimal [0]_UXO VII" xfId="28"/>
    <cellStyle name="Dezimal_UXO VII" xfId="29"/>
    <cellStyle name="Excel Built-in Normal" xfId="30"/>
    <cellStyle name="Excel Built-in Normal 2" xfId="31"/>
    <cellStyle name="Fixed" xfId="32"/>
    <cellStyle name="Grey" xfId="33"/>
    <cellStyle name="HEADER" xfId="34"/>
    <cellStyle name="Header1" xfId="35"/>
    <cellStyle name="Header2" xfId="36"/>
    <cellStyle name="Heading1" xfId="37"/>
    <cellStyle name="Heading2" xfId="38"/>
    <cellStyle name="Input [yellow]" xfId="39"/>
    <cellStyle name="Model" xfId="40"/>
    <cellStyle name="Normal" xfId="0" builtinId="0"/>
    <cellStyle name="Normal - Style1" xfId="41"/>
    <cellStyle name="Normal 2" xfId="42"/>
    <cellStyle name="Normal 2 2" xfId="43"/>
    <cellStyle name="Normal 3" xfId="44"/>
    <cellStyle name="Normal_DU TOAN NAM 2012" xfId="45"/>
    <cellStyle name="omma [0]_Mktg Prog" xfId="46"/>
    <cellStyle name="ormal_Sheet1_1" xfId="47"/>
    <cellStyle name="Percent [2]" xfId="48"/>
    <cellStyle name="RowLevel_0" xfId="49"/>
    <cellStyle name="subhead" xfId="50"/>
    <cellStyle name="T" xfId="51"/>
    <cellStyle name="th" xfId="52"/>
    <cellStyle name="viet" xfId="53"/>
    <cellStyle name="viet2" xfId="54"/>
    <cellStyle name="Vn Time 13" xfId="55"/>
    <cellStyle name="Vn Time 14" xfId="56"/>
    <cellStyle name="Währung [0]_UXO VII" xfId="57"/>
    <cellStyle name="Währung_UXO VII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 비목별 월별기술 " xfId="65"/>
    <cellStyle name="콤마_ 비목별 월별기술 " xfId="66"/>
    <cellStyle name="통화 [0]_1202" xfId="67"/>
    <cellStyle name="통화_1202" xfId="68"/>
    <cellStyle name="표준_(정보부문)월별인원계획" xfId="69"/>
    <cellStyle name="一般_Book1" xfId="70"/>
    <cellStyle name="千分位[0]_Book1" xfId="71"/>
    <cellStyle name="千分位_Book1" xfId="72"/>
    <cellStyle name="貨幣 [0]_Book1" xfId="73"/>
    <cellStyle name="貨幣_Book1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708660</xdr:colOff>
      <xdr:row>1</xdr:row>
      <xdr:rowOff>190500</xdr:rowOff>
    </xdr:from>
    <xdr:to>
      <xdr:col>1</xdr:col>
      <xdr:colOff>2125980</xdr:colOff>
      <xdr:row>1</xdr:row>
      <xdr:rowOff>198120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 flipV="1">
          <a:off x="1028700" y="396240"/>
          <a:ext cx="1417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708660</xdr:colOff>
      <xdr:row>1</xdr:row>
      <xdr:rowOff>190500</xdr:rowOff>
    </xdr:from>
    <xdr:to>
      <xdr:col>1</xdr:col>
      <xdr:colOff>1592580</xdr:colOff>
      <xdr:row>1</xdr:row>
      <xdr:rowOff>198120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 flipV="1">
          <a:off x="982980" y="388620"/>
          <a:ext cx="8839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708660</xdr:colOff>
      <xdr:row>1</xdr:row>
      <xdr:rowOff>190500</xdr:rowOff>
    </xdr:from>
    <xdr:to>
      <xdr:col>1</xdr:col>
      <xdr:colOff>1592580</xdr:colOff>
      <xdr:row>1</xdr:row>
      <xdr:rowOff>198120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 flipV="1">
          <a:off x="982980" y="388620"/>
          <a:ext cx="8839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3</xdr:row>
      <xdr:rowOff>68580</xdr:rowOff>
    </xdr:from>
    <xdr:to>
      <xdr:col>1</xdr:col>
      <xdr:colOff>960120</xdr:colOff>
      <xdr:row>3</xdr:row>
      <xdr:rowOff>68580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632460" y="66294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38100</xdr:rowOff>
    </xdr:from>
    <xdr:to>
      <xdr:col>1</xdr:col>
      <xdr:colOff>1085850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647700" y="361950"/>
          <a:ext cx="828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2:E33"/>
  <sheetViews>
    <sheetView topLeftCell="B1" workbookViewId="0">
      <selection activeCell="G23" sqref="G23"/>
    </sheetView>
  </sheetViews>
  <sheetFormatPr defaultColWidth="9" defaultRowHeight="16.8"/>
  <cols>
    <col min="1" max="1" width="10.8984375" style="65" customWidth="1"/>
    <col min="2" max="2" width="53.09765625" style="65" customWidth="1"/>
    <col min="3" max="3" width="37.59765625" style="66" customWidth="1"/>
    <col min="4" max="4" width="11.5" style="65" bestFit="1" customWidth="1"/>
    <col min="5" max="5" width="10.09765625" style="65" bestFit="1" customWidth="1"/>
    <col min="6" max="16384" width="9" style="65"/>
  </cols>
  <sheetData>
    <row r="2" spans="1:5" ht="16.5" customHeight="1">
      <c r="A2" s="346" t="s">
        <v>137</v>
      </c>
      <c r="B2" s="346"/>
      <c r="C2" s="425" t="s">
        <v>112</v>
      </c>
    </row>
    <row r="3" spans="1:5">
      <c r="A3" s="64" t="s">
        <v>135</v>
      </c>
    </row>
    <row r="4" spans="1:5">
      <c r="A4" s="67"/>
    </row>
    <row r="5" spans="1:5">
      <c r="A5" s="345" t="s">
        <v>531</v>
      </c>
      <c r="B5" s="345"/>
      <c r="C5" s="345"/>
    </row>
    <row r="6" spans="1:5">
      <c r="A6" s="424" t="s">
        <v>113</v>
      </c>
      <c r="B6" s="424"/>
      <c r="C6" s="424"/>
    </row>
    <row r="7" spans="1:5" ht="21" customHeight="1">
      <c r="A7" s="347" t="s">
        <v>522</v>
      </c>
      <c r="B7" s="347"/>
      <c r="C7" s="347"/>
    </row>
    <row r="8" spans="1:5" ht="17.399999999999999">
      <c r="C8" s="70" t="s">
        <v>0</v>
      </c>
    </row>
    <row r="9" spans="1:5">
      <c r="A9" s="416" t="s">
        <v>1</v>
      </c>
      <c r="B9" s="416" t="s">
        <v>2</v>
      </c>
      <c r="C9" s="417" t="s">
        <v>76</v>
      </c>
    </row>
    <row r="10" spans="1:5" ht="19.5" customHeight="1">
      <c r="A10" s="418" t="s">
        <v>3</v>
      </c>
      <c r="B10" s="419" t="s">
        <v>5</v>
      </c>
      <c r="C10" s="420">
        <f>C11+C16+C20</f>
        <v>3161055</v>
      </c>
    </row>
    <row r="11" spans="1:5" ht="22.5" customHeight="1">
      <c r="A11" s="418" t="s">
        <v>6</v>
      </c>
      <c r="B11" s="419" t="s">
        <v>7</v>
      </c>
      <c r="C11" s="420">
        <f>C12+C13+C14+C15</f>
        <v>1864000</v>
      </c>
    </row>
    <row r="12" spans="1:5">
      <c r="A12" s="421" t="s">
        <v>8</v>
      </c>
      <c r="B12" s="422" t="s">
        <v>9</v>
      </c>
      <c r="C12" s="423">
        <v>559000</v>
      </c>
      <c r="D12" s="71"/>
      <c r="E12" s="71"/>
    </row>
    <row r="13" spans="1:5" hidden="1">
      <c r="A13" s="421" t="s">
        <v>8</v>
      </c>
      <c r="B13" s="422" t="s">
        <v>138</v>
      </c>
      <c r="C13" s="423">
        <v>0</v>
      </c>
    </row>
    <row r="14" spans="1:5" ht="21" customHeight="1">
      <c r="A14" s="421" t="s">
        <v>8</v>
      </c>
      <c r="B14" s="422" t="s">
        <v>10</v>
      </c>
      <c r="C14" s="423">
        <v>1035000</v>
      </c>
      <c r="E14" s="71"/>
    </row>
    <row r="15" spans="1:5">
      <c r="A15" s="421" t="s">
        <v>8</v>
      </c>
      <c r="B15" s="422" t="s">
        <v>327</v>
      </c>
      <c r="C15" s="423">
        <v>270000</v>
      </c>
    </row>
    <row r="16" spans="1:5">
      <c r="A16" s="418" t="s">
        <v>11</v>
      </c>
      <c r="B16" s="419" t="s">
        <v>12</v>
      </c>
      <c r="C16" s="420">
        <f>SUM(C17:C18)</f>
        <v>1139042</v>
      </c>
    </row>
    <row r="17" spans="1:3">
      <c r="A17" s="421" t="s">
        <v>8</v>
      </c>
      <c r="B17" s="422" t="s">
        <v>13</v>
      </c>
      <c r="C17" s="423">
        <v>1047432</v>
      </c>
    </row>
    <row r="18" spans="1:3">
      <c r="A18" s="421" t="s">
        <v>8</v>
      </c>
      <c r="B18" s="422" t="s">
        <v>136</v>
      </c>
      <c r="C18" s="423">
        <v>91610</v>
      </c>
    </row>
    <row r="19" spans="1:3">
      <c r="A19" s="418" t="s">
        <v>15</v>
      </c>
      <c r="B19" s="419" t="s">
        <v>16</v>
      </c>
      <c r="C19" s="423">
        <v>0</v>
      </c>
    </row>
    <row r="20" spans="1:3">
      <c r="A20" s="418" t="s">
        <v>98</v>
      </c>
      <c r="B20" s="419" t="s">
        <v>341</v>
      </c>
      <c r="C20" s="420">
        <v>158013</v>
      </c>
    </row>
    <row r="21" spans="1:3">
      <c r="A21" s="418" t="s">
        <v>17</v>
      </c>
      <c r="B21" s="419" t="s">
        <v>18</v>
      </c>
      <c r="C21" s="423">
        <v>0</v>
      </c>
    </row>
    <row r="22" spans="1:3">
      <c r="A22" s="418" t="s">
        <v>4</v>
      </c>
      <c r="B22" s="419" t="s">
        <v>19</v>
      </c>
      <c r="C22" s="420">
        <f>C23+C28</f>
        <v>3161055</v>
      </c>
    </row>
    <row r="23" spans="1:3">
      <c r="A23" s="418" t="s">
        <v>20</v>
      </c>
      <c r="B23" s="419" t="s">
        <v>21</v>
      </c>
      <c r="C23" s="420">
        <f>C24+C25+C26+C27</f>
        <v>3161055</v>
      </c>
    </row>
    <row r="24" spans="1:3">
      <c r="A24" s="421">
        <v>1</v>
      </c>
      <c r="B24" s="422" t="s">
        <v>22</v>
      </c>
      <c r="C24" s="423">
        <v>611867</v>
      </c>
    </row>
    <row r="25" spans="1:3">
      <c r="A25" s="421">
        <v>2</v>
      </c>
      <c r="B25" s="422" t="s">
        <v>23</v>
      </c>
      <c r="C25" s="423">
        <v>2485888</v>
      </c>
    </row>
    <row r="26" spans="1:3">
      <c r="A26" s="421">
        <v>3</v>
      </c>
      <c r="B26" s="422" t="s">
        <v>24</v>
      </c>
      <c r="C26" s="423">
        <v>63300</v>
      </c>
    </row>
    <row r="27" spans="1:3">
      <c r="A27" s="421">
        <v>4</v>
      </c>
      <c r="B27" s="422" t="s">
        <v>25</v>
      </c>
      <c r="C27" s="423">
        <v>0</v>
      </c>
    </row>
    <row r="28" spans="1:3">
      <c r="A28" s="418" t="s">
        <v>11</v>
      </c>
      <c r="B28" s="419" t="s">
        <v>329</v>
      </c>
      <c r="C28" s="420"/>
    </row>
    <row r="29" spans="1:3">
      <c r="A29" s="418" t="s">
        <v>15</v>
      </c>
      <c r="B29" s="419" t="s">
        <v>26</v>
      </c>
      <c r="C29" s="423">
        <v>0</v>
      </c>
    </row>
    <row r="30" spans="1:3">
      <c r="A30" s="421">
        <v>1</v>
      </c>
      <c r="B30" s="422" t="s">
        <v>27</v>
      </c>
      <c r="C30" s="423">
        <v>0</v>
      </c>
    </row>
    <row r="31" spans="1:3">
      <c r="A31" s="421">
        <v>2</v>
      </c>
      <c r="B31" s="422" t="s">
        <v>28</v>
      </c>
      <c r="C31" s="423">
        <v>0</v>
      </c>
    </row>
    <row r="32" spans="1:3">
      <c r="A32" s="418" t="s">
        <v>15</v>
      </c>
      <c r="B32" s="419" t="s">
        <v>29</v>
      </c>
      <c r="C32" s="423">
        <v>0</v>
      </c>
    </row>
    <row r="33" spans="1:1" ht="17.399999999999999">
      <c r="A33" s="68"/>
    </row>
  </sheetData>
  <mergeCells count="4">
    <mergeCell ref="A5:C5"/>
    <mergeCell ref="A6:C6"/>
    <mergeCell ref="A2:B2"/>
    <mergeCell ref="A7:C7"/>
  </mergeCells>
  <phoneticPr fontId="5" type="noConversion"/>
  <printOptions horizontalCentered="1"/>
  <pageMargins left="0.5" right="0.5" top="0.7" bottom="0.5" header="0.3" footer="0.5"/>
  <pageSetup paperSize="9" scale="85" fitToHeight="0" orientation="portrait" r:id="rId1"/>
  <headerFooter alignWithMargins="0">
    <oddHeader>&amp;C&amp;P/&amp;N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J39"/>
  <sheetViews>
    <sheetView topLeftCell="A31" workbookViewId="0">
      <selection activeCell="F7" sqref="F7"/>
    </sheetView>
  </sheetViews>
  <sheetFormatPr defaultColWidth="9" defaultRowHeight="16.8"/>
  <cols>
    <col min="1" max="1" width="5.09765625" style="65" customWidth="1"/>
    <col min="2" max="2" width="22.3984375" style="65" customWidth="1"/>
    <col min="3" max="3" width="14" style="80" customWidth="1"/>
    <col min="4" max="4" width="15" style="65" customWidth="1"/>
    <col min="5" max="5" width="17.59765625" style="66" customWidth="1"/>
    <col min="6" max="6" width="11.8984375" style="65" customWidth="1"/>
    <col min="7" max="16384" width="9" style="65"/>
  </cols>
  <sheetData>
    <row r="1" spans="1:10" ht="16.5" customHeight="1">
      <c r="A1" s="404" t="s">
        <v>130</v>
      </c>
      <c r="B1" s="404"/>
      <c r="F1" s="185" t="s">
        <v>128</v>
      </c>
    </row>
    <row r="2" spans="1:10" ht="16.5" customHeight="1">
      <c r="A2" s="353" t="s">
        <v>135</v>
      </c>
      <c r="B2" s="353"/>
    </row>
    <row r="3" spans="1:10" ht="46.5" customHeight="1">
      <c r="A3" s="350" t="s">
        <v>534</v>
      </c>
      <c r="B3" s="350"/>
      <c r="C3" s="350"/>
      <c r="D3" s="350"/>
      <c r="E3" s="350"/>
      <c r="F3" s="350"/>
    </row>
    <row r="4" spans="1:10" ht="37.799999999999997" customHeight="1">
      <c r="A4" s="446" t="s">
        <v>630</v>
      </c>
      <c r="B4" s="446"/>
      <c r="C4" s="446"/>
      <c r="D4" s="446"/>
      <c r="E4" s="446"/>
      <c r="F4" s="446"/>
      <c r="G4" s="72"/>
      <c r="H4" s="72"/>
      <c r="I4" s="72"/>
      <c r="J4" s="72"/>
    </row>
    <row r="5" spans="1:10" ht="16.5" customHeight="1">
      <c r="A5" s="72"/>
      <c r="B5" s="72"/>
      <c r="C5" s="72"/>
      <c r="D5" s="72"/>
      <c r="E5" s="186"/>
      <c r="F5" s="72"/>
      <c r="G5" s="72"/>
      <c r="H5" s="72"/>
      <c r="I5" s="72"/>
      <c r="J5" s="72"/>
    </row>
    <row r="6" spans="1:10">
      <c r="F6" s="187" t="s">
        <v>0</v>
      </c>
    </row>
    <row r="7" spans="1:10" s="191" customFormat="1" ht="117.6">
      <c r="A7" s="188" t="s">
        <v>1</v>
      </c>
      <c r="B7" s="188" t="s">
        <v>100</v>
      </c>
      <c r="C7" s="189" t="s">
        <v>105</v>
      </c>
      <c r="D7" s="188" t="s">
        <v>108</v>
      </c>
      <c r="E7" s="190" t="s">
        <v>109</v>
      </c>
      <c r="F7" s="188" t="s">
        <v>110</v>
      </c>
    </row>
    <row r="8" spans="1:10">
      <c r="A8" s="192" t="s">
        <v>3</v>
      </c>
      <c r="B8" s="192" t="s">
        <v>4</v>
      </c>
      <c r="C8" s="193" t="s">
        <v>129</v>
      </c>
      <c r="D8" s="192">
        <v>2</v>
      </c>
      <c r="E8" s="194">
        <v>3</v>
      </c>
      <c r="F8" s="192">
        <v>4</v>
      </c>
    </row>
    <row r="9" spans="1:10" s="198" customFormat="1">
      <c r="A9" s="195"/>
      <c r="B9" s="195" t="s">
        <v>94</v>
      </c>
      <c r="C9" s="196">
        <f>SUM(C10:C39)</f>
        <v>11732</v>
      </c>
      <c r="D9" s="196">
        <f>SUM(D10:D39)</f>
        <v>0</v>
      </c>
      <c r="E9" s="197">
        <f>SUM(E10:E39)</f>
        <v>11732</v>
      </c>
      <c r="F9" s="195">
        <f>SUM(F10:F21)</f>
        <v>0</v>
      </c>
    </row>
    <row r="10" spans="1:10">
      <c r="A10" s="199">
        <v>1</v>
      </c>
      <c r="B10" s="200" t="s">
        <v>355</v>
      </c>
      <c r="C10" s="201">
        <f t="shared" ref="C10:C39" si="0">SUM(D10:F10)</f>
        <v>170</v>
      </c>
      <c r="D10" s="202"/>
      <c r="E10" s="203">
        <v>170</v>
      </c>
      <c r="F10" s="202"/>
    </row>
    <row r="11" spans="1:10">
      <c r="A11" s="199">
        <v>2</v>
      </c>
      <c r="B11" s="200" t="s">
        <v>357</v>
      </c>
      <c r="C11" s="201">
        <f t="shared" si="0"/>
        <v>160</v>
      </c>
      <c r="D11" s="202"/>
      <c r="E11" s="203">
        <v>160</v>
      </c>
      <c r="F11" s="202"/>
    </row>
    <row r="12" spans="1:10">
      <c r="A12" s="199">
        <v>3</v>
      </c>
      <c r="B12" s="200" t="s">
        <v>359</v>
      </c>
      <c r="C12" s="201">
        <f t="shared" si="0"/>
        <v>230</v>
      </c>
      <c r="D12" s="202"/>
      <c r="E12" s="203">
        <v>230</v>
      </c>
      <c r="F12" s="202"/>
    </row>
    <row r="13" spans="1:10">
      <c r="A13" s="199">
        <v>4</v>
      </c>
      <c r="B13" s="200" t="s">
        <v>360</v>
      </c>
      <c r="C13" s="201">
        <f t="shared" si="0"/>
        <v>626</v>
      </c>
      <c r="D13" s="202"/>
      <c r="E13" s="203">
        <v>626</v>
      </c>
      <c r="F13" s="202"/>
    </row>
    <row r="14" spans="1:10">
      <c r="A14" s="199">
        <v>5</v>
      </c>
      <c r="B14" s="200" t="s">
        <v>361</v>
      </c>
      <c r="C14" s="201">
        <f t="shared" si="0"/>
        <v>253</v>
      </c>
      <c r="D14" s="87"/>
      <c r="E14" s="204">
        <v>253</v>
      </c>
      <c r="F14" s="87"/>
    </row>
    <row r="15" spans="1:10">
      <c r="A15" s="199">
        <v>6</v>
      </c>
      <c r="B15" s="200" t="s">
        <v>363</v>
      </c>
      <c r="C15" s="201">
        <f t="shared" si="0"/>
        <v>630</v>
      </c>
      <c r="D15" s="87"/>
      <c r="E15" s="204">
        <v>630</v>
      </c>
      <c r="F15" s="87"/>
    </row>
    <row r="16" spans="1:10">
      <c r="A16" s="199">
        <v>7</v>
      </c>
      <c r="B16" s="200" t="s">
        <v>364</v>
      </c>
      <c r="C16" s="201">
        <f t="shared" si="0"/>
        <v>624</v>
      </c>
      <c r="D16" s="87"/>
      <c r="E16" s="204">
        <v>624</v>
      </c>
      <c r="F16" s="87"/>
    </row>
    <row r="17" spans="1:6">
      <c r="A17" s="199">
        <v>8</v>
      </c>
      <c r="B17" s="200" t="s">
        <v>366</v>
      </c>
      <c r="C17" s="201">
        <f t="shared" si="0"/>
        <v>226</v>
      </c>
      <c r="D17" s="87"/>
      <c r="E17" s="204">
        <v>226</v>
      </c>
      <c r="F17" s="87"/>
    </row>
    <row r="18" spans="1:6">
      <c r="A18" s="199">
        <v>9</v>
      </c>
      <c r="B18" s="200" t="s">
        <v>368</v>
      </c>
      <c r="C18" s="201">
        <f t="shared" si="0"/>
        <v>332</v>
      </c>
      <c r="D18" s="87"/>
      <c r="E18" s="204">
        <v>332</v>
      </c>
      <c r="F18" s="87"/>
    </row>
    <row r="19" spans="1:6">
      <c r="A19" s="199">
        <v>10</v>
      </c>
      <c r="B19" s="200" t="s">
        <v>370</v>
      </c>
      <c r="C19" s="201">
        <f t="shared" si="0"/>
        <v>282</v>
      </c>
      <c r="D19" s="87"/>
      <c r="E19" s="204">
        <v>282</v>
      </c>
      <c r="F19" s="87"/>
    </row>
    <row r="20" spans="1:6">
      <c r="A20" s="199">
        <v>11</v>
      </c>
      <c r="B20" s="200" t="s">
        <v>371</v>
      </c>
      <c r="C20" s="201">
        <f t="shared" si="0"/>
        <v>630</v>
      </c>
      <c r="D20" s="87"/>
      <c r="E20" s="204">
        <v>630</v>
      </c>
      <c r="F20" s="87"/>
    </row>
    <row r="21" spans="1:6">
      <c r="A21" s="199">
        <v>12</v>
      </c>
      <c r="B21" s="200" t="s">
        <v>372</v>
      </c>
      <c r="C21" s="201">
        <f t="shared" si="0"/>
        <v>10</v>
      </c>
      <c r="D21" s="87"/>
      <c r="E21" s="204">
        <v>10</v>
      </c>
      <c r="F21" s="87"/>
    </row>
    <row r="22" spans="1:6">
      <c r="A22" s="199">
        <v>13</v>
      </c>
      <c r="B22" s="126" t="s">
        <v>373</v>
      </c>
      <c r="C22" s="201">
        <f t="shared" si="0"/>
        <v>689</v>
      </c>
      <c r="D22" s="87"/>
      <c r="E22" s="204">
        <v>689</v>
      </c>
      <c r="F22" s="87"/>
    </row>
    <row r="23" spans="1:6">
      <c r="A23" s="199">
        <v>14</v>
      </c>
      <c r="B23" s="126" t="s">
        <v>374</v>
      </c>
      <c r="C23" s="201">
        <f t="shared" si="0"/>
        <v>308</v>
      </c>
      <c r="D23" s="87"/>
      <c r="E23" s="204">
        <v>308</v>
      </c>
      <c r="F23" s="87"/>
    </row>
    <row r="24" spans="1:6">
      <c r="A24" s="199">
        <v>15</v>
      </c>
      <c r="B24" s="126" t="s">
        <v>375</v>
      </c>
      <c r="C24" s="201">
        <f t="shared" si="0"/>
        <v>295</v>
      </c>
      <c r="D24" s="87"/>
      <c r="E24" s="204">
        <v>295</v>
      </c>
      <c r="F24" s="87"/>
    </row>
    <row r="25" spans="1:6">
      <c r="A25" s="199">
        <v>16</v>
      </c>
      <c r="B25" s="126" t="s">
        <v>376</v>
      </c>
      <c r="C25" s="201">
        <f t="shared" si="0"/>
        <v>230</v>
      </c>
      <c r="D25" s="87"/>
      <c r="E25" s="204">
        <v>230</v>
      </c>
      <c r="F25" s="87"/>
    </row>
    <row r="26" spans="1:6">
      <c r="A26" s="199">
        <v>17</v>
      </c>
      <c r="B26" s="126" t="s">
        <v>377</v>
      </c>
      <c r="C26" s="201">
        <f t="shared" si="0"/>
        <v>280</v>
      </c>
      <c r="D26" s="87"/>
      <c r="E26" s="204">
        <v>280</v>
      </c>
      <c r="F26" s="87"/>
    </row>
    <row r="27" spans="1:6">
      <c r="A27" s="199">
        <v>18</v>
      </c>
      <c r="B27" s="126" t="s">
        <v>378</v>
      </c>
      <c r="C27" s="201">
        <f t="shared" si="0"/>
        <v>361</v>
      </c>
      <c r="D27" s="87"/>
      <c r="E27" s="204">
        <v>361</v>
      </c>
      <c r="F27" s="87"/>
    </row>
    <row r="28" spans="1:6">
      <c r="A28" s="199">
        <v>19</v>
      </c>
      <c r="B28" s="126" t="s">
        <v>379</v>
      </c>
      <c r="C28" s="201">
        <f t="shared" si="0"/>
        <v>330</v>
      </c>
      <c r="D28" s="87"/>
      <c r="E28" s="204">
        <v>330</v>
      </c>
      <c r="F28" s="87"/>
    </row>
    <row r="29" spans="1:6">
      <c r="A29" s="199">
        <v>20</v>
      </c>
      <c r="B29" s="126" t="s">
        <v>380</v>
      </c>
      <c r="C29" s="201">
        <f t="shared" si="0"/>
        <v>410</v>
      </c>
      <c r="D29" s="87"/>
      <c r="E29" s="204">
        <v>410</v>
      </c>
      <c r="F29" s="87"/>
    </row>
    <row r="30" spans="1:6">
      <c r="A30" s="199">
        <v>21</v>
      </c>
      <c r="B30" s="126" t="s">
        <v>381</v>
      </c>
      <c r="C30" s="201">
        <f t="shared" si="0"/>
        <v>780</v>
      </c>
      <c r="D30" s="87"/>
      <c r="E30" s="204">
        <v>780</v>
      </c>
      <c r="F30" s="87"/>
    </row>
    <row r="31" spans="1:6">
      <c r="A31" s="199">
        <v>22</v>
      </c>
      <c r="B31" s="126" t="s">
        <v>382</v>
      </c>
      <c r="C31" s="201">
        <f t="shared" si="0"/>
        <v>406</v>
      </c>
      <c r="D31" s="87"/>
      <c r="E31" s="204">
        <v>406</v>
      </c>
      <c r="F31" s="87"/>
    </row>
    <row r="32" spans="1:6">
      <c r="A32" s="199">
        <v>23</v>
      </c>
      <c r="B32" s="126" t="s">
        <v>383</v>
      </c>
      <c r="C32" s="201">
        <f t="shared" si="0"/>
        <v>350</v>
      </c>
      <c r="D32" s="87"/>
      <c r="E32" s="204">
        <v>350</v>
      </c>
      <c r="F32" s="87"/>
    </row>
    <row r="33" spans="1:6">
      <c r="A33" s="199">
        <v>24</v>
      </c>
      <c r="B33" s="126" t="s">
        <v>384</v>
      </c>
      <c r="C33" s="201">
        <f t="shared" si="0"/>
        <v>590</v>
      </c>
      <c r="D33" s="87"/>
      <c r="E33" s="204">
        <v>590</v>
      </c>
      <c r="F33" s="87"/>
    </row>
    <row r="34" spans="1:6">
      <c r="A34" s="199">
        <v>25</v>
      </c>
      <c r="B34" s="126" t="s">
        <v>385</v>
      </c>
      <c r="C34" s="201">
        <f t="shared" si="0"/>
        <v>605</v>
      </c>
      <c r="D34" s="87"/>
      <c r="E34" s="204">
        <v>605</v>
      </c>
      <c r="F34" s="87"/>
    </row>
    <row r="35" spans="1:6">
      <c r="A35" s="199">
        <v>26</v>
      </c>
      <c r="B35" s="126" t="s">
        <v>386</v>
      </c>
      <c r="C35" s="201">
        <f t="shared" si="0"/>
        <v>655</v>
      </c>
      <c r="D35" s="87"/>
      <c r="E35" s="204">
        <v>655</v>
      </c>
      <c r="F35" s="87"/>
    </row>
    <row r="36" spans="1:6">
      <c r="A36" s="199">
        <v>27</v>
      </c>
      <c r="B36" s="126" t="s">
        <v>387</v>
      </c>
      <c r="C36" s="201">
        <f t="shared" si="0"/>
        <v>210</v>
      </c>
      <c r="D36" s="87"/>
      <c r="E36" s="204">
        <v>210</v>
      </c>
      <c r="F36" s="87"/>
    </row>
    <row r="37" spans="1:6">
      <c r="A37" s="199">
        <v>28</v>
      </c>
      <c r="B37" s="126" t="s">
        <v>388</v>
      </c>
      <c r="C37" s="201">
        <f t="shared" si="0"/>
        <v>250</v>
      </c>
      <c r="D37" s="87"/>
      <c r="E37" s="204">
        <v>250</v>
      </c>
      <c r="F37" s="87"/>
    </row>
    <row r="38" spans="1:6">
      <c r="A38" s="199">
        <v>29</v>
      </c>
      <c r="B38" s="126" t="s">
        <v>389</v>
      </c>
      <c r="C38" s="201">
        <f t="shared" si="0"/>
        <v>250</v>
      </c>
      <c r="D38" s="87"/>
      <c r="E38" s="204">
        <v>250</v>
      </c>
      <c r="F38" s="87"/>
    </row>
    <row r="39" spans="1:6">
      <c r="A39" s="199">
        <v>30</v>
      </c>
      <c r="B39" s="126" t="s">
        <v>390</v>
      </c>
      <c r="C39" s="201">
        <f t="shared" si="0"/>
        <v>560</v>
      </c>
      <c r="D39" s="87"/>
      <c r="E39" s="204">
        <v>560</v>
      </c>
      <c r="F39" s="87"/>
    </row>
  </sheetData>
  <mergeCells count="4">
    <mergeCell ref="A3:F3"/>
    <mergeCell ref="A1:B1"/>
    <mergeCell ref="A2:B2"/>
    <mergeCell ref="A4:F4"/>
  </mergeCells>
  <phoneticPr fontId="5" type="noConversion"/>
  <printOptions horizontalCentered="1"/>
  <pageMargins left="0.5" right="0.5" top="0.5" bottom="0.25" header="0.3" footer="0.5"/>
  <pageSetup paperSize="9" fitToHeight="0" orientation="portrait" r:id="rId1"/>
  <headerFooter alignWithMargins="0">
    <oddHeader>&amp;C&amp;P/&amp;N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144"/>
  <sheetViews>
    <sheetView tabSelected="1" topLeftCell="C1" workbookViewId="0">
      <selection activeCell="T12" sqref="T12"/>
    </sheetView>
  </sheetViews>
  <sheetFormatPr defaultColWidth="9" defaultRowHeight="15.6"/>
  <cols>
    <col min="1" max="1" width="4.69921875" style="223" customWidth="1"/>
    <col min="2" max="2" width="38.09765625" style="222" customWidth="1"/>
    <col min="3" max="3" width="9.19921875" style="222" customWidth="1"/>
    <col min="4" max="4" width="4.69921875" style="222" customWidth="1"/>
    <col min="5" max="5" width="6.3984375" style="222" customWidth="1"/>
    <col min="6" max="6" width="6.59765625" style="221" customWidth="1"/>
    <col min="7" max="7" width="9.8984375" style="222" customWidth="1"/>
    <col min="8" max="8" width="13.19921875" style="258" customWidth="1"/>
    <col min="9" max="9" width="7.19921875" style="223" customWidth="1"/>
    <col min="10" max="10" width="7.3984375" style="223" customWidth="1"/>
    <col min="11" max="11" width="10.09765625" style="222" customWidth="1"/>
    <col min="12" max="12" width="8.8984375" style="259" customWidth="1"/>
    <col min="13" max="13" width="6.5" style="235" bestFit="1" customWidth="1"/>
    <col min="14" max="14" width="6.59765625" style="235" customWidth="1"/>
    <col min="15" max="15" width="9" style="260" customWidth="1"/>
    <col min="16" max="16" width="8.69921875" style="261" customWidth="1"/>
    <col min="17" max="18" width="6.5" style="222" bestFit="1" customWidth="1"/>
    <col min="19" max="19" width="10.8984375" style="262" customWidth="1"/>
    <col min="20" max="20" width="7.8984375" style="263" customWidth="1"/>
    <col min="21" max="22" width="6.5" style="263" bestFit="1" customWidth="1"/>
    <col min="23" max="23" width="7.59765625" style="264" customWidth="1"/>
    <col min="24" max="16384" width="9" style="222"/>
  </cols>
  <sheetData>
    <row r="1" spans="1:23">
      <c r="A1" s="412" t="s">
        <v>130</v>
      </c>
      <c r="B1" s="412"/>
      <c r="C1" s="220"/>
      <c r="D1" s="220"/>
    </row>
    <row r="2" spans="1:23" ht="18" customHeight="1">
      <c r="A2" s="412" t="s">
        <v>135</v>
      </c>
      <c r="B2" s="412"/>
      <c r="C2" s="220"/>
      <c r="D2" s="220"/>
      <c r="U2" s="235"/>
      <c r="V2" s="235"/>
      <c r="W2" s="265" t="s">
        <v>438</v>
      </c>
    </row>
    <row r="3" spans="1:23" ht="21" customHeight="1">
      <c r="A3" s="413" t="s">
        <v>535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</row>
    <row r="4" spans="1:23" ht="18" customHeight="1">
      <c r="A4" s="414" t="s">
        <v>113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</row>
    <row r="5" spans="1:23" ht="18" customHeight="1">
      <c r="A5" s="415" t="s">
        <v>522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</row>
    <row r="6" spans="1:23" ht="18" customHeight="1">
      <c r="A6" s="224"/>
      <c r="B6" s="266"/>
      <c r="L6" s="267"/>
      <c r="M6" s="264"/>
      <c r="N6" s="264"/>
      <c r="O6" s="268"/>
      <c r="Q6" s="225"/>
      <c r="R6" s="225"/>
      <c r="S6" s="269"/>
      <c r="T6" s="264" t="s">
        <v>439</v>
      </c>
      <c r="U6" s="264"/>
      <c r="V6" s="264"/>
    </row>
    <row r="7" spans="1:23" s="235" customFormat="1" ht="35.25" customHeight="1">
      <c r="A7" s="405" t="s">
        <v>440</v>
      </c>
      <c r="B7" s="405" t="s">
        <v>441</v>
      </c>
      <c r="C7" s="407" t="s">
        <v>442</v>
      </c>
      <c r="D7" s="405" t="s">
        <v>443</v>
      </c>
      <c r="E7" s="405" t="s">
        <v>444</v>
      </c>
      <c r="F7" s="408" t="s">
        <v>445</v>
      </c>
      <c r="G7" s="408"/>
      <c r="H7" s="408"/>
      <c r="I7" s="408"/>
      <c r="J7" s="408"/>
      <c r="K7" s="408"/>
      <c r="L7" s="405" t="s">
        <v>536</v>
      </c>
      <c r="M7" s="409"/>
      <c r="N7" s="409"/>
      <c r="O7" s="409"/>
      <c r="P7" s="405" t="s">
        <v>537</v>
      </c>
      <c r="Q7" s="405"/>
      <c r="R7" s="405"/>
      <c r="S7" s="405"/>
      <c r="T7" s="405" t="s">
        <v>538</v>
      </c>
      <c r="U7" s="405"/>
      <c r="V7" s="405"/>
      <c r="W7" s="405"/>
    </row>
    <row r="8" spans="1:23" s="235" customFormat="1" ht="18" customHeight="1">
      <c r="A8" s="405"/>
      <c r="B8" s="405"/>
      <c r="C8" s="407"/>
      <c r="D8" s="405"/>
      <c r="E8" s="405"/>
      <c r="F8" s="410" t="s">
        <v>446</v>
      </c>
      <c r="G8" s="411" t="s">
        <v>447</v>
      </c>
      <c r="H8" s="408" t="s">
        <v>448</v>
      </c>
      <c r="I8" s="408"/>
      <c r="J8" s="408"/>
      <c r="K8" s="408"/>
      <c r="L8" s="405" t="s">
        <v>105</v>
      </c>
      <c r="M8" s="405" t="s">
        <v>449</v>
      </c>
      <c r="N8" s="405"/>
      <c r="O8" s="405"/>
      <c r="P8" s="405" t="s">
        <v>105</v>
      </c>
      <c r="Q8" s="405" t="s">
        <v>449</v>
      </c>
      <c r="R8" s="405"/>
      <c r="S8" s="405"/>
      <c r="T8" s="405" t="s">
        <v>105</v>
      </c>
      <c r="U8" s="405" t="s">
        <v>449</v>
      </c>
      <c r="V8" s="405"/>
      <c r="W8" s="405"/>
    </row>
    <row r="9" spans="1:23" s="235" customFormat="1" ht="71.25" customHeight="1">
      <c r="A9" s="406"/>
      <c r="B9" s="406"/>
      <c r="C9" s="407"/>
      <c r="D9" s="406"/>
      <c r="E9" s="405"/>
      <c r="F9" s="410"/>
      <c r="G9" s="411"/>
      <c r="H9" s="245" t="s">
        <v>105</v>
      </c>
      <c r="I9" s="245" t="s">
        <v>450</v>
      </c>
      <c r="J9" s="245" t="s">
        <v>451</v>
      </c>
      <c r="K9" s="245" t="s">
        <v>452</v>
      </c>
      <c r="L9" s="405"/>
      <c r="M9" s="245" t="s">
        <v>450</v>
      </c>
      <c r="N9" s="245" t="s">
        <v>451</v>
      </c>
      <c r="O9" s="270" t="s">
        <v>452</v>
      </c>
      <c r="P9" s="405"/>
      <c r="Q9" s="245" t="s">
        <v>450</v>
      </c>
      <c r="R9" s="245" t="s">
        <v>451</v>
      </c>
      <c r="S9" s="270" t="s">
        <v>452</v>
      </c>
      <c r="T9" s="405"/>
      <c r="U9" s="245" t="s">
        <v>450</v>
      </c>
      <c r="V9" s="245" t="s">
        <v>451</v>
      </c>
      <c r="W9" s="245" t="s">
        <v>452</v>
      </c>
    </row>
    <row r="10" spans="1:23" s="276" customFormat="1" ht="16.8">
      <c r="A10" s="271"/>
      <c r="B10" s="272" t="s">
        <v>539</v>
      </c>
      <c r="C10" s="234"/>
      <c r="D10" s="230"/>
      <c r="E10" s="234"/>
      <c r="F10" s="272"/>
      <c r="G10" s="272"/>
      <c r="H10" s="273">
        <f>SUM(H11:H144)</f>
        <v>4832941</v>
      </c>
      <c r="I10" s="273">
        <f>SUM(I11:I144)</f>
        <v>0</v>
      </c>
      <c r="J10" s="273">
        <f>SUM(J11:J144)</f>
        <v>0</v>
      </c>
      <c r="K10" s="273">
        <f>SUM(K11:K144)</f>
        <v>4832941</v>
      </c>
      <c r="L10" s="228">
        <f>+SUM(M10:O10)</f>
        <v>2188720</v>
      </c>
      <c r="M10" s="228"/>
      <c r="N10" s="228"/>
      <c r="O10" s="228">
        <f>O11+O41+O54</f>
        <v>2188720</v>
      </c>
      <c r="P10" s="228">
        <f>+SUM(Q10:S10)</f>
        <v>2712025</v>
      </c>
      <c r="Q10" s="228"/>
      <c r="R10" s="228"/>
      <c r="S10" s="274">
        <f>S11+S41+S54</f>
        <v>2712025</v>
      </c>
      <c r="T10" s="228">
        <f>SUM(U10:W10)</f>
        <v>600867</v>
      </c>
      <c r="U10" s="228"/>
      <c r="V10" s="228"/>
      <c r="W10" s="275">
        <f>W11+W41+W54</f>
        <v>600867</v>
      </c>
    </row>
    <row r="11" spans="1:23" s="276" customFormat="1" ht="16.8">
      <c r="A11" s="277" t="s">
        <v>3</v>
      </c>
      <c r="B11" s="278" t="s">
        <v>453</v>
      </c>
      <c r="C11" s="234"/>
      <c r="D11" s="230"/>
      <c r="E11" s="234"/>
      <c r="F11" s="272"/>
      <c r="G11" s="272"/>
      <c r="H11" s="273"/>
      <c r="I11" s="228"/>
      <c r="J11" s="228"/>
      <c r="K11" s="273"/>
      <c r="L11" s="228">
        <f t="shared" ref="L11:L74" si="0">+SUM(M11:O11)</f>
        <v>1182415</v>
      </c>
      <c r="M11" s="228"/>
      <c r="N11" s="228"/>
      <c r="O11" s="228">
        <f>O12+O26+O34</f>
        <v>1182415</v>
      </c>
      <c r="P11" s="228">
        <f t="shared" ref="P11:P74" si="1">+SUM(Q11:S11)</f>
        <v>1475968</v>
      </c>
      <c r="Q11" s="228"/>
      <c r="R11" s="228"/>
      <c r="S11" s="274">
        <f>S12+S26+S34</f>
        <v>1475968</v>
      </c>
      <c r="T11" s="228">
        <f t="shared" ref="T11:T74" si="2">SUM(U11:W11)</f>
        <v>239257</v>
      </c>
      <c r="U11" s="228"/>
      <c r="V11" s="228"/>
      <c r="W11" s="275">
        <f>W12+W26+W34</f>
        <v>239257</v>
      </c>
    </row>
    <row r="12" spans="1:23" s="276" customFormat="1" ht="31.2">
      <c r="A12" s="277" t="s">
        <v>454</v>
      </c>
      <c r="B12" s="278" t="s">
        <v>455</v>
      </c>
      <c r="C12" s="234"/>
      <c r="D12" s="230"/>
      <c r="E12" s="234"/>
      <c r="F12" s="272"/>
      <c r="G12" s="272"/>
      <c r="H12" s="273"/>
      <c r="I12" s="228"/>
      <c r="J12" s="228"/>
      <c r="K12" s="273"/>
      <c r="L12" s="228">
        <f t="shared" si="0"/>
        <v>183669</v>
      </c>
      <c r="M12" s="228"/>
      <c r="N12" s="228"/>
      <c r="O12" s="228">
        <f>O13</f>
        <v>183669</v>
      </c>
      <c r="P12" s="228">
        <f t="shared" si="1"/>
        <v>251875</v>
      </c>
      <c r="Q12" s="228"/>
      <c r="R12" s="228"/>
      <c r="S12" s="274">
        <f>S13</f>
        <v>251875</v>
      </c>
      <c r="T12" s="228">
        <f t="shared" si="2"/>
        <v>139750</v>
      </c>
      <c r="U12" s="228"/>
      <c r="V12" s="228"/>
      <c r="W12" s="275">
        <f>W13</f>
        <v>139750</v>
      </c>
    </row>
    <row r="13" spans="1:23" s="276" customFormat="1" ht="16.8">
      <c r="A13" s="277"/>
      <c r="B13" s="278" t="s">
        <v>456</v>
      </c>
      <c r="C13" s="234"/>
      <c r="D13" s="230"/>
      <c r="E13" s="234"/>
      <c r="F13" s="272"/>
      <c r="G13" s="272"/>
      <c r="H13" s="273"/>
      <c r="I13" s="228"/>
      <c r="J13" s="228"/>
      <c r="K13" s="273"/>
      <c r="L13" s="228">
        <f t="shared" si="0"/>
        <v>183669</v>
      </c>
      <c r="M13" s="228"/>
      <c r="N13" s="228"/>
      <c r="O13" s="228">
        <f>O14+O19+O21</f>
        <v>183669</v>
      </c>
      <c r="P13" s="228">
        <f t="shared" si="1"/>
        <v>251875</v>
      </c>
      <c r="Q13" s="228"/>
      <c r="R13" s="228"/>
      <c r="S13" s="274">
        <f>S14+S19+S21</f>
        <v>251875</v>
      </c>
      <c r="T13" s="228">
        <f t="shared" si="2"/>
        <v>139750</v>
      </c>
      <c r="U13" s="228"/>
      <c r="V13" s="228"/>
      <c r="W13" s="275">
        <f>W14+W19+W21</f>
        <v>139750</v>
      </c>
    </row>
    <row r="14" spans="1:23" s="276" customFormat="1" ht="16.8">
      <c r="A14" s="277" t="s">
        <v>457</v>
      </c>
      <c r="B14" s="278" t="s">
        <v>458</v>
      </c>
      <c r="C14" s="234"/>
      <c r="D14" s="230"/>
      <c r="E14" s="234"/>
      <c r="F14" s="272"/>
      <c r="G14" s="272"/>
      <c r="H14" s="273"/>
      <c r="I14" s="228"/>
      <c r="J14" s="228"/>
      <c r="K14" s="273"/>
      <c r="L14" s="228">
        <f t="shared" si="0"/>
        <v>155371</v>
      </c>
      <c r="M14" s="228"/>
      <c r="N14" s="228"/>
      <c r="O14" s="228">
        <f>SUM(O15:O18)</f>
        <v>155371</v>
      </c>
      <c r="P14" s="228">
        <f t="shared" si="1"/>
        <v>168404</v>
      </c>
      <c r="Q14" s="228"/>
      <c r="R14" s="228"/>
      <c r="S14" s="274">
        <f>SUM(S15:S18)</f>
        <v>168404</v>
      </c>
      <c r="T14" s="228">
        <f t="shared" si="2"/>
        <v>56700</v>
      </c>
      <c r="U14" s="228"/>
      <c r="V14" s="228"/>
      <c r="W14" s="275">
        <f>SUM(W15:W18)</f>
        <v>56700</v>
      </c>
    </row>
    <row r="15" spans="1:23" s="276" customFormat="1" ht="46.8">
      <c r="A15" s="279" t="s">
        <v>540</v>
      </c>
      <c r="B15" s="280" t="s">
        <v>541</v>
      </c>
      <c r="C15" s="229"/>
      <c r="D15" s="230"/>
      <c r="E15" s="234"/>
      <c r="F15" s="281">
        <v>2746</v>
      </c>
      <c r="G15" s="281" t="s">
        <v>542</v>
      </c>
      <c r="H15" s="282">
        <v>44178</v>
      </c>
      <c r="I15" s="228"/>
      <c r="J15" s="228"/>
      <c r="K15" s="282">
        <v>44178</v>
      </c>
      <c r="L15" s="232">
        <f t="shared" si="0"/>
        <v>18917</v>
      </c>
      <c r="M15" s="228"/>
      <c r="N15" s="228"/>
      <c r="O15" s="283">
        <f>140+18777</f>
        <v>18917</v>
      </c>
      <c r="P15" s="232">
        <f t="shared" si="1"/>
        <v>20150</v>
      </c>
      <c r="Q15" s="228"/>
      <c r="R15" s="228"/>
      <c r="S15" s="284">
        <v>20150</v>
      </c>
      <c r="T15" s="232">
        <f t="shared" si="2"/>
        <v>15000</v>
      </c>
      <c r="U15" s="228"/>
      <c r="V15" s="228"/>
      <c r="W15" s="282">
        <v>15000</v>
      </c>
    </row>
    <row r="16" spans="1:23" s="235" customFormat="1" ht="31.2">
      <c r="A16" s="279" t="s">
        <v>543</v>
      </c>
      <c r="B16" s="280" t="s">
        <v>544</v>
      </c>
      <c r="C16" s="231"/>
      <c r="D16" s="227"/>
      <c r="E16" s="226"/>
      <c r="F16" s="281">
        <v>12918</v>
      </c>
      <c r="G16" s="281" t="s">
        <v>545</v>
      </c>
      <c r="H16" s="282">
        <v>35080</v>
      </c>
      <c r="I16" s="232"/>
      <c r="J16" s="232"/>
      <c r="K16" s="282">
        <v>35080</v>
      </c>
      <c r="L16" s="232">
        <f t="shared" si="0"/>
        <v>13934</v>
      </c>
      <c r="M16" s="232"/>
      <c r="N16" s="232"/>
      <c r="O16" s="232">
        <f>497+13437</f>
        <v>13934</v>
      </c>
      <c r="P16" s="232">
        <f t="shared" si="1"/>
        <v>23350</v>
      </c>
      <c r="Q16" s="232"/>
      <c r="R16" s="232"/>
      <c r="S16" s="284">
        <v>23350</v>
      </c>
      <c r="T16" s="232">
        <f t="shared" si="2"/>
        <v>2600</v>
      </c>
      <c r="U16" s="232"/>
      <c r="V16" s="232"/>
      <c r="W16" s="213">
        <v>2600</v>
      </c>
    </row>
    <row r="17" spans="1:23" s="276" customFormat="1" ht="16.8">
      <c r="A17" s="279" t="s">
        <v>546</v>
      </c>
      <c r="B17" s="280" t="s">
        <v>475</v>
      </c>
      <c r="C17" s="229"/>
      <c r="D17" s="230"/>
      <c r="E17" s="234"/>
      <c r="F17" s="285" t="s">
        <v>547</v>
      </c>
      <c r="G17" s="286">
        <v>44782</v>
      </c>
      <c r="H17" s="287">
        <v>93362</v>
      </c>
      <c r="I17" s="228"/>
      <c r="J17" s="228"/>
      <c r="K17" s="287">
        <v>93362</v>
      </c>
      <c r="L17" s="232">
        <f t="shared" si="0"/>
        <v>63271</v>
      </c>
      <c r="M17" s="228"/>
      <c r="N17" s="228"/>
      <c r="O17" s="288">
        <f>57391+5880</f>
        <v>63271</v>
      </c>
      <c r="P17" s="232">
        <f t="shared" si="1"/>
        <v>65037</v>
      </c>
      <c r="Q17" s="228"/>
      <c r="R17" s="228"/>
      <c r="S17" s="289">
        <v>65037</v>
      </c>
      <c r="T17" s="232">
        <f t="shared" si="2"/>
        <v>23700</v>
      </c>
      <c r="U17" s="228"/>
      <c r="V17" s="228"/>
      <c r="W17" s="290">
        <v>23700</v>
      </c>
    </row>
    <row r="18" spans="1:23" s="235" customFormat="1" ht="31.2">
      <c r="A18" s="279" t="s">
        <v>548</v>
      </c>
      <c r="B18" s="280" t="s">
        <v>461</v>
      </c>
      <c r="C18" s="231"/>
      <c r="D18" s="227"/>
      <c r="E18" s="226"/>
      <c r="F18" s="285" t="s">
        <v>549</v>
      </c>
      <c r="G18" s="286">
        <v>43038</v>
      </c>
      <c r="H18" s="287">
        <v>113157</v>
      </c>
      <c r="I18" s="232"/>
      <c r="J18" s="232"/>
      <c r="K18" s="287">
        <v>113157</v>
      </c>
      <c r="L18" s="232">
        <f t="shared" si="0"/>
        <v>59249</v>
      </c>
      <c r="M18" s="232"/>
      <c r="N18" s="232"/>
      <c r="O18" s="288">
        <f>50749+8500</f>
        <v>59249</v>
      </c>
      <c r="P18" s="232">
        <f t="shared" si="1"/>
        <v>59867</v>
      </c>
      <c r="Q18" s="232"/>
      <c r="R18" s="232"/>
      <c r="S18" s="289">
        <v>59867</v>
      </c>
      <c r="T18" s="232">
        <f t="shared" si="2"/>
        <v>15400</v>
      </c>
      <c r="U18" s="232"/>
      <c r="V18" s="232"/>
      <c r="W18" s="290">
        <v>15400</v>
      </c>
    </row>
    <row r="19" spans="1:23" s="276" customFormat="1" ht="16.8">
      <c r="A19" s="277" t="s">
        <v>459</v>
      </c>
      <c r="B19" s="278" t="s">
        <v>460</v>
      </c>
      <c r="C19" s="229"/>
      <c r="D19" s="230"/>
      <c r="E19" s="234"/>
      <c r="F19" s="272"/>
      <c r="G19" s="291"/>
      <c r="H19" s="273"/>
      <c r="I19" s="228"/>
      <c r="J19" s="228"/>
      <c r="K19" s="273"/>
      <c r="L19" s="228">
        <f t="shared" si="0"/>
        <v>200</v>
      </c>
      <c r="M19" s="228"/>
      <c r="N19" s="228"/>
      <c r="O19" s="292">
        <f>O20</f>
        <v>200</v>
      </c>
      <c r="P19" s="228">
        <f t="shared" si="1"/>
        <v>200</v>
      </c>
      <c r="Q19" s="228"/>
      <c r="R19" s="228"/>
      <c r="S19" s="293">
        <f>S20</f>
        <v>200</v>
      </c>
      <c r="T19" s="228">
        <f t="shared" si="2"/>
        <v>32000</v>
      </c>
      <c r="U19" s="228"/>
      <c r="V19" s="228"/>
      <c r="W19" s="294">
        <f>W20</f>
        <v>32000</v>
      </c>
    </row>
    <row r="20" spans="1:23" s="260" customFormat="1" ht="16.8">
      <c r="A20" s="295" t="s">
        <v>540</v>
      </c>
      <c r="B20" s="296" t="s">
        <v>550</v>
      </c>
      <c r="C20" s="297"/>
      <c r="D20" s="298"/>
      <c r="E20" s="299"/>
      <c r="F20" s="298">
        <v>2170</v>
      </c>
      <c r="G20" s="300" t="s">
        <v>551</v>
      </c>
      <c r="H20" s="301">
        <v>43461</v>
      </c>
      <c r="I20" s="232"/>
      <c r="J20" s="232"/>
      <c r="K20" s="301">
        <v>43461</v>
      </c>
      <c r="L20" s="232">
        <f t="shared" si="0"/>
        <v>200</v>
      </c>
      <c r="M20" s="232"/>
      <c r="N20" s="232"/>
      <c r="O20" s="232">
        <f>100+100</f>
        <v>200</v>
      </c>
      <c r="P20" s="232">
        <f t="shared" si="1"/>
        <v>200</v>
      </c>
      <c r="Q20" s="232"/>
      <c r="R20" s="232"/>
      <c r="S20" s="302">
        <v>200</v>
      </c>
      <c r="T20" s="232">
        <f t="shared" si="2"/>
        <v>32000</v>
      </c>
      <c r="U20" s="232"/>
      <c r="V20" s="232"/>
      <c r="W20" s="232">
        <v>32000</v>
      </c>
    </row>
    <row r="21" spans="1:23" s="276" customFormat="1" ht="16.8">
      <c r="A21" s="277" t="s">
        <v>462</v>
      </c>
      <c r="B21" s="278" t="s">
        <v>463</v>
      </c>
      <c r="C21" s="229"/>
      <c r="D21" s="230"/>
      <c r="E21" s="234"/>
      <c r="F21" s="272"/>
      <c r="G21" s="291"/>
      <c r="H21" s="273"/>
      <c r="I21" s="228"/>
      <c r="J21" s="228"/>
      <c r="K21" s="273"/>
      <c r="L21" s="228">
        <f t="shared" si="0"/>
        <v>28098</v>
      </c>
      <c r="M21" s="228"/>
      <c r="N21" s="228"/>
      <c r="O21" s="292">
        <f>SUM(O22:O25)</f>
        <v>28098</v>
      </c>
      <c r="P21" s="228">
        <f t="shared" si="1"/>
        <v>83271</v>
      </c>
      <c r="Q21" s="228"/>
      <c r="R21" s="228"/>
      <c r="S21" s="293">
        <f>SUM(S22:S25)</f>
        <v>83271</v>
      </c>
      <c r="T21" s="228">
        <f t="shared" si="2"/>
        <v>51050</v>
      </c>
      <c r="U21" s="228"/>
      <c r="V21" s="228"/>
      <c r="W21" s="294">
        <f>SUM(W22:W25)</f>
        <v>51050</v>
      </c>
    </row>
    <row r="22" spans="1:23" s="235" customFormat="1" ht="31.2">
      <c r="A22" s="279" t="s">
        <v>540</v>
      </c>
      <c r="B22" s="280" t="s">
        <v>464</v>
      </c>
      <c r="C22" s="231"/>
      <c r="D22" s="227"/>
      <c r="E22" s="226"/>
      <c r="F22" s="285" t="s">
        <v>552</v>
      </c>
      <c r="G22" s="286">
        <v>43676</v>
      </c>
      <c r="H22" s="287">
        <v>104202</v>
      </c>
      <c r="I22" s="228"/>
      <c r="J22" s="228"/>
      <c r="K22" s="287">
        <v>104202</v>
      </c>
      <c r="L22" s="232">
        <f t="shared" si="0"/>
        <v>24247</v>
      </c>
      <c r="M22" s="228"/>
      <c r="N22" s="228"/>
      <c r="O22" s="301">
        <f>23982+265</f>
        <v>24247</v>
      </c>
      <c r="P22" s="232">
        <f t="shared" si="1"/>
        <v>50370</v>
      </c>
      <c r="Q22" s="228"/>
      <c r="R22" s="228"/>
      <c r="S22" s="303">
        <v>50370</v>
      </c>
      <c r="T22" s="232">
        <f t="shared" si="2"/>
        <v>50</v>
      </c>
      <c r="U22" s="228"/>
      <c r="V22" s="228"/>
      <c r="W22" s="290">
        <v>50</v>
      </c>
    </row>
    <row r="23" spans="1:23" s="235" customFormat="1" ht="31.2">
      <c r="A23" s="279" t="s">
        <v>543</v>
      </c>
      <c r="B23" s="280" t="s">
        <v>478</v>
      </c>
      <c r="C23" s="231"/>
      <c r="D23" s="227"/>
      <c r="E23" s="226"/>
      <c r="F23" s="285" t="s">
        <v>553</v>
      </c>
      <c r="G23" s="286" t="s">
        <v>554</v>
      </c>
      <c r="H23" s="287">
        <v>190218</v>
      </c>
      <c r="I23" s="228"/>
      <c r="J23" s="228"/>
      <c r="K23" s="287">
        <v>190218</v>
      </c>
      <c r="L23" s="232">
        <f t="shared" si="0"/>
        <v>1958</v>
      </c>
      <c r="M23" s="228"/>
      <c r="N23" s="228"/>
      <c r="O23" s="301">
        <f>1754+204</f>
        <v>1958</v>
      </c>
      <c r="P23" s="232">
        <f t="shared" si="1"/>
        <v>25331</v>
      </c>
      <c r="Q23" s="228"/>
      <c r="R23" s="228"/>
      <c r="S23" s="303">
        <v>25331</v>
      </c>
      <c r="T23" s="232">
        <f t="shared" si="2"/>
        <v>20000</v>
      </c>
      <c r="U23" s="228"/>
      <c r="V23" s="228"/>
      <c r="W23" s="290">
        <v>20000</v>
      </c>
    </row>
    <row r="24" spans="1:23" s="235" customFormat="1" ht="16.8">
      <c r="A24" s="279" t="s">
        <v>546</v>
      </c>
      <c r="B24" s="280" t="s">
        <v>477</v>
      </c>
      <c r="C24" s="231"/>
      <c r="D24" s="227"/>
      <c r="E24" s="226"/>
      <c r="F24" s="304">
        <v>5479</v>
      </c>
      <c r="G24" s="300">
        <v>44415</v>
      </c>
      <c r="H24" s="301">
        <v>69913</v>
      </c>
      <c r="I24" s="232"/>
      <c r="J24" s="232"/>
      <c r="K24" s="301">
        <v>69913</v>
      </c>
      <c r="L24" s="232">
        <f t="shared" si="0"/>
        <v>415</v>
      </c>
      <c r="M24" s="232"/>
      <c r="N24" s="232"/>
      <c r="O24" s="299">
        <f>50+365</f>
        <v>415</v>
      </c>
      <c r="P24" s="232">
        <f t="shared" si="1"/>
        <v>900</v>
      </c>
      <c r="Q24" s="232"/>
      <c r="R24" s="232"/>
      <c r="S24" s="305">
        <v>900</v>
      </c>
      <c r="T24" s="232">
        <f t="shared" si="2"/>
        <v>30900</v>
      </c>
      <c r="U24" s="232"/>
      <c r="V24" s="232"/>
      <c r="W24" s="290">
        <v>30900</v>
      </c>
    </row>
    <row r="25" spans="1:23" s="235" customFormat="1" ht="31.2">
      <c r="A25" s="279" t="s">
        <v>548</v>
      </c>
      <c r="B25" s="280" t="s">
        <v>465</v>
      </c>
      <c r="C25" s="231"/>
      <c r="D25" s="227"/>
      <c r="E25" s="226"/>
      <c r="F25" s="285" t="s">
        <v>555</v>
      </c>
      <c r="G25" s="286" t="s">
        <v>556</v>
      </c>
      <c r="H25" s="287">
        <v>88958</v>
      </c>
      <c r="I25" s="232"/>
      <c r="J25" s="232"/>
      <c r="K25" s="287">
        <v>88958</v>
      </c>
      <c r="L25" s="232">
        <f t="shared" si="0"/>
        <v>1478</v>
      </c>
      <c r="M25" s="232"/>
      <c r="N25" s="232"/>
      <c r="O25" s="288">
        <v>1478</v>
      </c>
      <c r="P25" s="232">
        <f t="shared" si="1"/>
        <v>6670</v>
      </c>
      <c r="Q25" s="232"/>
      <c r="R25" s="232"/>
      <c r="S25" s="289">
        <v>6670</v>
      </c>
      <c r="T25" s="232">
        <f t="shared" si="2"/>
        <v>100</v>
      </c>
      <c r="U25" s="232"/>
      <c r="V25" s="232"/>
      <c r="W25" s="290">
        <v>100</v>
      </c>
    </row>
    <row r="26" spans="1:23" s="276" customFormat="1" ht="16.8">
      <c r="A26" s="277" t="s">
        <v>454</v>
      </c>
      <c r="B26" s="278" t="s">
        <v>466</v>
      </c>
      <c r="C26" s="229"/>
      <c r="D26" s="230"/>
      <c r="E26" s="234"/>
      <c r="F26" s="272"/>
      <c r="G26" s="291"/>
      <c r="H26" s="273"/>
      <c r="I26" s="228"/>
      <c r="J26" s="228"/>
      <c r="K26" s="273"/>
      <c r="L26" s="228">
        <f t="shared" si="0"/>
        <v>32963</v>
      </c>
      <c r="M26" s="228"/>
      <c r="N26" s="228"/>
      <c r="O26" s="292">
        <f>O27</f>
        <v>32963</v>
      </c>
      <c r="P26" s="228">
        <f t="shared" si="1"/>
        <v>191335</v>
      </c>
      <c r="Q26" s="228"/>
      <c r="R26" s="228"/>
      <c r="S26" s="293">
        <f>S27</f>
        <v>191335</v>
      </c>
      <c r="T26" s="228">
        <f t="shared" si="2"/>
        <v>60100</v>
      </c>
      <c r="U26" s="228"/>
      <c r="V26" s="228"/>
      <c r="W26" s="294">
        <f>W27</f>
        <v>60100</v>
      </c>
    </row>
    <row r="27" spans="1:23" s="276" customFormat="1" ht="16.8">
      <c r="A27" s="277"/>
      <c r="B27" s="278" t="s">
        <v>456</v>
      </c>
      <c r="C27" s="229"/>
      <c r="D27" s="230"/>
      <c r="E27" s="234"/>
      <c r="F27" s="272"/>
      <c r="G27" s="291"/>
      <c r="H27" s="273"/>
      <c r="I27" s="228"/>
      <c r="J27" s="228"/>
      <c r="K27" s="273"/>
      <c r="L27" s="228">
        <f t="shared" si="0"/>
        <v>32963</v>
      </c>
      <c r="M27" s="228"/>
      <c r="N27" s="228"/>
      <c r="O27" s="292">
        <f>O28+O30+O31</f>
        <v>32963</v>
      </c>
      <c r="P27" s="228">
        <f t="shared" si="1"/>
        <v>191335</v>
      </c>
      <c r="Q27" s="228"/>
      <c r="R27" s="228"/>
      <c r="S27" s="293">
        <f>S28+S30+S31</f>
        <v>191335</v>
      </c>
      <c r="T27" s="228">
        <f t="shared" si="2"/>
        <v>60100</v>
      </c>
      <c r="U27" s="228"/>
      <c r="V27" s="228"/>
      <c r="W27" s="294">
        <f>W28+W30+W31</f>
        <v>60100</v>
      </c>
    </row>
    <row r="28" spans="1:23" s="276" customFormat="1" ht="16.8">
      <c r="A28" s="277" t="s">
        <v>457</v>
      </c>
      <c r="B28" s="278" t="s">
        <v>458</v>
      </c>
      <c r="C28" s="229"/>
      <c r="D28" s="230"/>
      <c r="E28" s="234"/>
      <c r="F28" s="272"/>
      <c r="G28" s="291"/>
      <c r="H28" s="273"/>
      <c r="I28" s="228"/>
      <c r="J28" s="228"/>
      <c r="K28" s="273"/>
      <c r="L28" s="228">
        <f t="shared" si="0"/>
        <v>29613</v>
      </c>
      <c r="M28" s="228"/>
      <c r="N28" s="228"/>
      <c r="O28" s="228">
        <f>SUM(O29:O29)</f>
        <v>29613</v>
      </c>
      <c r="P28" s="228">
        <f t="shared" si="1"/>
        <v>37113</v>
      </c>
      <c r="Q28" s="228"/>
      <c r="R28" s="228"/>
      <c r="S28" s="274">
        <f>SUM(S29:S29)</f>
        <v>37113</v>
      </c>
      <c r="T28" s="228">
        <f t="shared" si="2"/>
        <v>5100</v>
      </c>
      <c r="U28" s="228"/>
      <c r="V28" s="228"/>
      <c r="W28" s="275">
        <f>SUM(W29:W29)</f>
        <v>5100</v>
      </c>
    </row>
    <row r="29" spans="1:23" s="235" customFormat="1" ht="46.8">
      <c r="A29" s="279">
        <v>1</v>
      </c>
      <c r="B29" s="280" t="s">
        <v>467</v>
      </c>
      <c r="C29" s="231"/>
      <c r="D29" s="227"/>
      <c r="E29" s="226"/>
      <c r="F29" s="281">
        <v>3363</v>
      </c>
      <c r="G29" s="286" t="s">
        <v>557</v>
      </c>
      <c r="H29" s="287">
        <v>39642</v>
      </c>
      <c r="I29" s="232"/>
      <c r="J29" s="232"/>
      <c r="K29" s="287">
        <v>39642</v>
      </c>
      <c r="L29" s="232">
        <f t="shared" si="0"/>
        <v>29613</v>
      </c>
      <c r="M29" s="232"/>
      <c r="N29" s="232"/>
      <c r="O29" s="288">
        <f>22522+7091</f>
        <v>29613</v>
      </c>
      <c r="P29" s="232">
        <f t="shared" si="1"/>
        <v>37113</v>
      </c>
      <c r="Q29" s="232"/>
      <c r="R29" s="232"/>
      <c r="S29" s="289">
        <v>37113</v>
      </c>
      <c r="T29" s="232">
        <f t="shared" si="2"/>
        <v>5100</v>
      </c>
      <c r="U29" s="232"/>
      <c r="V29" s="232"/>
      <c r="W29" s="290">
        <v>5100</v>
      </c>
    </row>
    <row r="30" spans="1:23" s="276" customFormat="1" ht="16.8">
      <c r="A30" s="277" t="s">
        <v>459</v>
      </c>
      <c r="B30" s="278" t="s">
        <v>460</v>
      </c>
      <c r="C30" s="229"/>
      <c r="D30" s="230"/>
      <c r="E30" s="234"/>
      <c r="F30" s="306"/>
      <c r="G30" s="291"/>
      <c r="H30" s="307"/>
      <c r="I30" s="228"/>
      <c r="J30" s="228"/>
      <c r="K30" s="307"/>
      <c r="L30" s="228">
        <f t="shared" si="0"/>
        <v>0</v>
      </c>
      <c r="M30" s="228"/>
      <c r="N30" s="228"/>
      <c r="O30" s="308"/>
      <c r="P30" s="228">
        <f t="shared" si="1"/>
        <v>0</v>
      </c>
      <c r="Q30" s="228"/>
      <c r="R30" s="228"/>
      <c r="S30" s="309"/>
      <c r="T30" s="228">
        <f t="shared" si="2"/>
        <v>0</v>
      </c>
      <c r="U30" s="228"/>
      <c r="V30" s="228"/>
      <c r="W30" s="310"/>
    </row>
    <row r="31" spans="1:23" s="276" customFormat="1" ht="16.8">
      <c r="A31" s="277" t="s">
        <v>462</v>
      </c>
      <c r="B31" s="278" t="s">
        <v>463</v>
      </c>
      <c r="C31" s="229"/>
      <c r="D31" s="230"/>
      <c r="E31" s="234"/>
      <c r="F31" s="306"/>
      <c r="G31" s="291"/>
      <c r="H31" s="307"/>
      <c r="I31" s="228"/>
      <c r="J31" s="228"/>
      <c r="K31" s="307"/>
      <c r="L31" s="228">
        <f t="shared" si="0"/>
        <v>3350</v>
      </c>
      <c r="M31" s="228"/>
      <c r="N31" s="228"/>
      <c r="O31" s="292">
        <f>SUM(O32:O33)</f>
        <v>3350</v>
      </c>
      <c r="P31" s="228">
        <f t="shared" si="1"/>
        <v>154222</v>
      </c>
      <c r="Q31" s="228"/>
      <c r="R31" s="228"/>
      <c r="S31" s="293">
        <f>SUM(S32:S33)</f>
        <v>154222</v>
      </c>
      <c r="T31" s="228">
        <f t="shared" si="2"/>
        <v>55000</v>
      </c>
      <c r="U31" s="228"/>
      <c r="V31" s="228"/>
      <c r="W31" s="294">
        <f>SUM(W32:W33)</f>
        <v>55000</v>
      </c>
    </row>
    <row r="32" spans="1:23" s="235" customFormat="1" ht="31.2">
      <c r="A32" s="279" t="s">
        <v>540</v>
      </c>
      <c r="B32" s="280" t="s">
        <v>469</v>
      </c>
      <c r="C32" s="231"/>
      <c r="D32" s="227"/>
      <c r="E32" s="226"/>
      <c r="F32" s="227">
        <v>9385</v>
      </c>
      <c r="G32" s="286">
        <v>44387</v>
      </c>
      <c r="H32" s="287">
        <v>123256</v>
      </c>
      <c r="I32" s="228"/>
      <c r="J32" s="228"/>
      <c r="K32" s="287">
        <v>123256</v>
      </c>
      <c r="L32" s="232">
        <f t="shared" si="0"/>
        <v>537</v>
      </c>
      <c r="M32" s="228"/>
      <c r="N32" s="228"/>
      <c r="O32" s="301">
        <v>537</v>
      </c>
      <c r="P32" s="232">
        <f t="shared" si="1"/>
        <v>90700</v>
      </c>
      <c r="Q32" s="228"/>
      <c r="R32" s="228"/>
      <c r="S32" s="303">
        <v>90700</v>
      </c>
      <c r="T32" s="232">
        <f t="shared" si="2"/>
        <v>30000</v>
      </c>
      <c r="U32" s="228"/>
      <c r="V32" s="228"/>
      <c r="W32" s="290">
        <v>30000</v>
      </c>
    </row>
    <row r="33" spans="1:23" s="235" customFormat="1" ht="36.75" customHeight="1">
      <c r="A33" s="279" t="s">
        <v>543</v>
      </c>
      <c r="B33" s="280" t="s">
        <v>468</v>
      </c>
      <c r="C33" s="231"/>
      <c r="D33" s="227"/>
      <c r="E33" s="226"/>
      <c r="F33" s="311">
        <v>5538</v>
      </c>
      <c r="G33" s="300">
        <v>44416</v>
      </c>
      <c r="H33" s="301">
        <v>197355</v>
      </c>
      <c r="I33" s="232"/>
      <c r="J33" s="232"/>
      <c r="K33" s="301">
        <v>197355</v>
      </c>
      <c r="L33" s="232">
        <f t="shared" si="0"/>
        <v>2813</v>
      </c>
      <c r="M33" s="232"/>
      <c r="N33" s="232"/>
      <c r="O33" s="301">
        <f>1738+1075</f>
        <v>2813</v>
      </c>
      <c r="P33" s="232">
        <f t="shared" si="1"/>
        <v>63522</v>
      </c>
      <c r="Q33" s="232"/>
      <c r="R33" s="232"/>
      <c r="S33" s="303">
        <v>63522</v>
      </c>
      <c r="T33" s="232">
        <f t="shared" si="2"/>
        <v>25000</v>
      </c>
      <c r="U33" s="232"/>
      <c r="V33" s="232"/>
      <c r="W33" s="290">
        <v>25000</v>
      </c>
    </row>
    <row r="34" spans="1:23" s="276" customFormat="1" ht="16.8">
      <c r="A34" s="277" t="s">
        <v>454</v>
      </c>
      <c r="B34" s="278" t="s">
        <v>470</v>
      </c>
      <c r="C34" s="229"/>
      <c r="D34" s="230"/>
      <c r="E34" s="234"/>
      <c r="F34" s="230"/>
      <c r="G34" s="312"/>
      <c r="H34" s="234"/>
      <c r="I34" s="228"/>
      <c r="J34" s="228"/>
      <c r="K34" s="234"/>
      <c r="L34" s="228">
        <f t="shared" si="0"/>
        <v>965783</v>
      </c>
      <c r="M34" s="228"/>
      <c r="N34" s="228"/>
      <c r="O34" s="228">
        <f>O35</f>
        <v>965783</v>
      </c>
      <c r="P34" s="228">
        <f t="shared" si="1"/>
        <v>1032758</v>
      </c>
      <c r="Q34" s="228"/>
      <c r="R34" s="228"/>
      <c r="S34" s="274">
        <f>S35</f>
        <v>1032758</v>
      </c>
      <c r="T34" s="228">
        <f t="shared" si="2"/>
        <v>39407</v>
      </c>
      <c r="U34" s="228"/>
      <c r="V34" s="228"/>
      <c r="W34" s="275">
        <f>W35</f>
        <v>39407</v>
      </c>
    </row>
    <row r="35" spans="1:23" s="276" customFormat="1" ht="16.8">
      <c r="A35" s="277"/>
      <c r="B35" s="278" t="s">
        <v>456</v>
      </c>
      <c r="C35" s="229"/>
      <c r="D35" s="230"/>
      <c r="E35" s="234"/>
      <c r="F35" s="230"/>
      <c r="G35" s="312"/>
      <c r="H35" s="234"/>
      <c r="I35" s="228"/>
      <c r="J35" s="228"/>
      <c r="K35" s="234"/>
      <c r="L35" s="228">
        <f t="shared" si="0"/>
        <v>965783</v>
      </c>
      <c r="M35" s="228"/>
      <c r="N35" s="228"/>
      <c r="O35" s="228">
        <f>O36+O39</f>
        <v>965783</v>
      </c>
      <c r="P35" s="228">
        <f t="shared" si="1"/>
        <v>1032758</v>
      </c>
      <c r="Q35" s="228"/>
      <c r="R35" s="228"/>
      <c r="S35" s="274">
        <f>S36+S38+S39</f>
        <v>1032758</v>
      </c>
      <c r="T35" s="228">
        <f t="shared" si="2"/>
        <v>39407</v>
      </c>
      <c r="U35" s="228"/>
      <c r="V35" s="228"/>
      <c r="W35" s="275">
        <f>W36+W38+W39</f>
        <v>39407</v>
      </c>
    </row>
    <row r="36" spans="1:23" s="276" customFormat="1" ht="16.8">
      <c r="A36" s="277" t="s">
        <v>457</v>
      </c>
      <c r="B36" s="278" t="s">
        <v>458</v>
      </c>
      <c r="C36" s="229"/>
      <c r="D36" s="230"/>
      <c r="E36" s="234"/>
      <c r="F36" s="230"/>
      <c r="G36" s="312"/>
      <c r="H36" s="234"/>
      <c r="I36" s="228"/>
      <c r="J36" s="228"/>
      <c r="K36" s="234"/>
      <c r="L36" s="228">
        <f t="shared" si="0"/>
        <v>719232</v>
      </c>
      <c r="M36" s="228"/>
      <c r="N36" s="228"/>
      <c r="O36" s="228">
        <f>SUM(O37:O37)</f>
        <v>719232</v>
      </c>
      <c r="P36" s="228">
        <f t="shared" si="1"/>
        <v>725359</v>
      </c>
      <c r="Q36" s="228"/>
      <c r="R36" s="228"/>
      <c r="S36" s="274">
        <f>SUM(S37:S37)</f>
        <v>725359</v>
      </c>
      <c r="T36" s="228">
        <f t="shared" si="2"/>
        <v>38407</v>
      </c>
      <c r="U36" s="228"/>
      <c r="V36" s="228"/>
      <c r="W36" s="275">
        <f>SUM(W37:W37)</f>
        <v>38407</v>
      </c>
    </row>
    <row r="37" spans="1:23" s="318" customFormat="1" ht="31.2">
      <c r="A37" s="295">
        <v>1</v>
      </c>
      <c r="B37" s="296" t="s">
        <v>471</v>
      </c>
      <c r="C37" s="313"/>
      <c r="D37" s="314"/>
      <c r="E37" s="315"/>
      <c r="F37" s="316">
        <v>2483</v>
      </c>
      <c r="G37" s="300">
        <v>43965</v>
      </c>
      <c r="H37" s="301">
        <v>825796</v>
      </c>
      <c r="I37" s="228"/>
      <c r="J37" s="228"/>
      <c r="K37" s="301">
        <v>825796</v>
      </c>
      <c r="L37" s="232">
        <f t="shared" si="0"/>
        <v>719232</v>
      </c>
      <c r="M37" s="228"/>
      <c r="N37" s="228"/>
      <c r="O37" s="301">
        <f>553204+95578+70450</f>
        <v>719232</v>
      </c>
      <c r="P37" s="232">
        <f t="shared" si="1"/>
        <v>725359</v>
      </c>
      <c r="Q37" s="228"/>
      <c r="R37" s="228"/>
      <c r="S37" s="303">
        <f>552329+102580+70450</f>
        <v>725359</v>
      </c>
      <c r="T37" s="232">
        <f t="shared" si="2"/>
        <v>38407</v>
      </c>
      <c r="U37" s="228"/>
      <c r="V37" s="228"/>
      <c r="W37" s="317">
        <v>38407</v>
      </c>
    </row>
    <row r="38" spans="1:23" s="276" customFormat="1" ht="16.8">
      <c r="A38" s="277" t="s">
        <v>459</v>
      </c>
      <c r="B38" s="278" t="s">
        <v>472</v>
      </c>
      <c r="C38" s="229"/>
      <c r="D38" s="230"/>
      <c r="E38" s="234"/>
      <c r="F38" s="306"/>
      <c r="G38" s="291"/>
      <c r="H38" s="307"/>
      <c r="I38" s="228"/>
      <c r="J38" s="228"/>
      <c r="K38" s="307"/>
      <c r="L38" s="228">
        <f t="shared" si="0"/>
        <v>0</v>
      </c>
      <c r="M38" s="228"/>
      <c r="N38" s="228"/>
      <c r="O38" s="319"/>
      <c r="P38" s="228">
        <f t="shared" si="1"/>
        <v>0</v>
      </c>
      <c r="Q38" s="228"/>
      <c r="R38" s="228"/>
      <c r="S38" s="320"/>
      <c r="T38" s="228">
        <f t="shared" si="2"/>
        <v>0</v>
      </c>
      <c r="U38" s="228"/>
      <c r="V38" s="228"/>
      <c r="W38" s="294"/>
    </row>
    <row r="39" spans="1:23" s="276" customFormat="1" ht="16.8">
      <c r="A39" s="277" t="s">
        <v>462</v>
      </c>
      <c r="B39" s="278" t="s">
        <v>463</v>
      </c>
      <c r="C39" s="229"/>
      <c r="D39" s="230"/>
      <c r="E39" s="234"/>
      <c r="F39" s="230"/>
      <c r="G39" s="312"/>
      <c r="H39" s="234"/>
      <c r="I39" s="228"/>
      <c r="J39" s="228"/>
      <c r="K39" s="234"/>
      <c r="L39" s="228">
        <f t="shared" si="0"/>
        <v>246551</v>
      </c>
      <c r="M39" s="228"/>
      <c r="N39" s="228"/>
      <c r="O39" s="228">
        <f>O40</f>
        <v>246551</v>
      </c>
      <c r="P39" s="228">
        <f t="shared" si="1"/>
        <v>307399</v>
      </c>
      <c r="Q39" s="228"/>
      <c r="R39" s="228"/>
      <c r="S39" s="274">
        <f>S40</f>
        <v>307399</v>
      </c>
      <c r="T39" s="228">
        <f t="shared" si="2"/>
        <v>1000</v>
      </c>
      <c r="U39" s="228"/>
      <c r="V39" s="228"/>
      <c r="W39" s="275">
        <f>W40</f>
        <v>1000</v>
      </c>
    </row>
    <row r="40" spans="1:23" s="276" customFormat="1" ht="31.2">
      <c r="A40" s="279" t="s">
        <v>540</v>
      </c>
      <c r="B40" s="280" t="s">
        <v>473</v>
      </c>
      <c r="C40" s="229"/>
      <c r="D40" s="230"/>
      <c r="E40" s="234"/>
      <c r="F40" s="285" t="s">
        <v>558</v>
      </c>
      <c r="G40" s="286">
        <v>43965</v>
      </c>
      <c r="H40" s="301">
        <v>715544</v>
      </c>
      <c r="I40" s="228"/>
      <c r="J40" s="228"/>
      <c r="K40" s="301">
        <v>715544</v>
      </c>
      <c r="L40" s="232">
        <f t="shared" si="0"/>
        <v>246551</v>
      </c>
      <c r="M40" s="228"/>
      <c r="N40" s="228"/>
      <c r="O40" s="301">
        <f>240824+5727</f>
        <v>246551</v>
      </c>
      <c r="P40" s="232">
        <f t="shared" si="1"/>
        <v>307399</v>
      </c>
      <c r="Q40" s="228"/>
      <c r="R40" s="228"/>
      <c r="S40" s="303">
        <v>307399</v>
      </c>
      <c r="T40" s="232">
        <f t="shared" si="2"/>
        <v>1000</v>
      </c>
      <c r="U40" s="228"/>
      <c r="V40" s="228"/>
      <c r="W40" s="290">
        <v>1000</v>
      </c>
    </row>
    <row r="41" spans="1:23" s="276" customFormat="1" ht="37.5" customHeight="1">
      <c r="A41" s="277" t="s">
        <v>4</v>
      </c>
      <c r="B41" s="278" t="s">
        <v>474</v>
      </c>
      <c r="C41" s="229"/>
      <c r="D41" s="230"/>
      <c r="E41" s="234"/>
      <c r="F41" s="230"/>
      <c r="G41" s="312"/>
      <c r="H41" s="234"/>
      <c r="I41" s="228"/>
      <c r="J41" s="228"/>
      <c r="K41" s="234"/>
      <c r="L41" s="228">
        <f t="shared" si="0"/>
        <v>48458</v>
      </c>
      <c r="M41" s="228"/>
      <c r="N41" s="228"/>
      <c r="O41" s="228">
        <f>O42</f>
        <v>48458</v>
      </c>
      <c r="P41" s="228">
        <f t="shared" si="1"/>
        <v>58530</v>
      </c>
      <c r="Q41" s="228"/>
      <c r="R41" s="228"/>
      <c r="S41" s="274">
        <f>S42</f>
        <v>58530</v>
      </c>
      <c r="T41" s="228">
        <f t="shared" si="2"/>
        <v>91610</v>
      </c>
      <c r="U41" s="228"/>
      <c r="V41" s="228"/>
      <c r="W41" s="275">
        <f>W42</f>
        <v>91610</v>
      </c>
    </row>
    <row r="42" spans="1:23" s="276" customFormat="1" ht="30" customHeight="1">
      <c r="A42" s="277" t="s">
        <v>454</v>
      </c>
      <c r="B42" s="278" t="s">
        <v>455</v>
      </c>
      <c r="C42" s="229"/>
      <c r="D42" s="230"/>
      <c r="E42" s="234"/>
      <c r="F42" s="230"/>
      <c r="G42" s="312"/>
      <c r="H42" s="234"/>
      <c r="I42" s="228"/>
      <c r="J42" s="228"/>
      <c r="K42" s="234"/>
      <c r="L42" s="228">
        <f t="shared" si="0"/>
        <v>48458</v>
      </c>
      <c r="M42" s="228"/>
      <c r="N42" s="228"/>
      <c r="O42" s="228">
        <f>O43</f>
        <v>48458</v>
      </c>
      <c r="P42" s="228">
        <f t="shared" si="1"/>
        <v>58530</v>
      </c>
      <c r="Q42" s="228"/>
      <c r="R42" s="228"/>
      <c r="S42" s="274">
        <f>S43</f>
        <v>58530</v>
      </c>
      <c r="T42" s="228">
        <f t="shared" si="2"/>
        <v>91610</v>
      </c>
      <c r="U42" s="228"/>
      <c r="V42" s="228"/>
      <c r="W42" s="275">
        <f>W43</f>
        <v>91610</v>
      </c>
    </row>
    <row r="43" spans="1:23" s="276" customFormat="1" ht="16.8">
      <c r="A43" s="277" t="s">
        <v>6</v>
      </c>
      <c r="B43" s="278" t="s">
        <v>456</v>
      </c>
      <c r="C43" s="229"/>
      <c r="D43" s="230"/>
      <c r="E43" s="234"/>
      <c r="F43" s="230"/>
      <c r="G43" s="312"/>
      <c r="H43" s="234"/>
      <c r="I43" s="228"/>
      <c r="J43" s="228"/>
      <c r="K43" s="234"/>
      <c r="L43" s="228">
        <f t="shared" si="0"/>
        <v>48458</v>
      </c>
      <c r="M43" s="228"/>
      <c r="N43" s="228"/>
      <c r="O43" s="228">
        <f>O44+O52</f>
        <v>48458</v>
      </c>
      <c r="P43" s="228">
        <f t="shared" si="1"/>
        <v>58530</v>
      </c>
      <c r="Q43" s="228"/>
      <c r="R43" s="228"/>
      <c r="S43" s="274">
        <f>S44+S52</f>
        <v>58530</v>
      </c>
      <c r="T43" s="228">
        <f t="shared" si="2"/>
        <v>91610</v>
      </c>
      <c r="U43" s="228"/>
      <c r="V43" s="228"/>
      <c r="W43" s="275">
        <f>W44+W52</f>
        <v>91610</v>
      </c>
    </row>
    <row r="44" spans="1:23" s="276" customFormat="1" ht="16.8">
      <c r="A44" s="277" t="s">
        <v>457</v>
      </c>
      <c r="B44" s="278" t="s">
        <v>458</v>
      </c>
      <c r="C44" s="229"/>
      <c r="D44" s="230"/>
      <c r="E44" s="234"/>
      <c r="F44" s="230"/>
      <c r="G44" s="312"/>
      <c r="H44" s="234"/>
      <c r="I44" s="228"/>
      <c r="J44" s="228"/>
      <c r="K44" s="234"/>
      <c r="L44" s="228">
        <f t="shared" si="0"/>
        <v>48327</v>
      </c>
      <c r="M44" s="228"/>
      <c r="N44" s="228"/>
      <c r="O44" s="228">
        <f>SUM(O45:O51)</f>
        <v>48327</v>
      </c>
      <c r="P44" s="228">
        <f t="shared" si="1"/>
        <v>58330</v>
      </c>
      <c r="Q44" s="228"/>
      <c r="R44" s="228"/>
      <c r="S44" s="274">
        <f>SUM(S45:S51)</f>
        <v>58330</v>
      </c>
      <c r="T44" s="228">
        <f t="shared" si="2"/>
        <v>87500</v>
      </c>
      <c r="U44" s="228"/>
      <c r="V44" s="228"/>
      <c r="W44" s="275">
        <f>SUM(W45:W51)</f>
        <v>87500</v>
      </c>
    </row>
    <row r="45" spans="1:23" s="235" customFormat="1" ht="16.8">
      <c r="A45" s="279" t="s">
        <v>540</v>
      </c>
      <c r="B45" s="233" t="s">
        <v>559</v>
      </c>
      <c r="C45" s="231"/>
      <c r="D45" s="227"/>
      <c r="E45" s="226"/>
      <c r="F45" s="304">
        <v>5478</v>
      </c>
      <c r="G45" s="300">
        <v>44415</v>
      </c>
      <c r="H45" s="301">
        <v>37430</v>
      </c>
      <c r="I45" s="232"/>
      <c r="J45" s="232"/>
      <c r="K45" s="301">
        <v>37430</v>
      </c>
      <c r="L45" s="232">
        <f t="shared" si="0"/>
        <v>19764</v>
      </c>
      <c r="M45" s="232"/>
      <c r="N45" s="232"/>
      <c r="O45" s="232">
        <f>19552+212</f>
        <v>19764</v>
      </c>
      <c r="P45" s="232">
        <f t="shared" si="1"/>
        <v>26080</v>
      </c>
      <c r="Q45" s="232"/>
      <c r="R45" s="232"/>
      <c r="S45" s="302">
        <v>26080</v>
      </c>
      <c r="T45" s="232">
        <f t="shared" si="2"/>
        <v>12000</v>
      </c>
      <c r="U45" s="232"/>
      <c r="V45" s="232"/>
      <c r="W45" s="290">
        <v>12000</v>
      </c>
    </row>
    <row r="46" spans="1:23" s="276" customFormat="1" ht="31.2">
      <c r="A46" s="279" t="s">
        <v>543</v>
      </c>
      <c r="B46" s="280" t="s">
        <v>519</v>
      </c>
      <c r="C46" s="229"/>
      <c r="D46" s="230"/>
      <c r="E46" s="234"/>
      <c r="F46" s="285" t="s">
        <v>560</v>
      </c>
      <c r="G46" s="286" t="s">
        <v>561</v>
      </c>
      <c r="H46" s="287">
        <v>28655</v>
      </c>
      <c r="I46" s="228"/>
      <c r="J46" s="228"/>
      <c r="K46" s="287">
        <v>28655</v>
      </c>
      <c r="L46" s="232">
        <f t="shared" si="0"/>
        <v>4200</v>
      </c>
      <c r="M46" s="228"/>
      <c r="N46" s="228"/>
      <c r="O46" s="288">
        <f>100+4100</f>
        <v>4200</v>
      </c>
      <c r="P46" s="232">
        <f t="shared" si="1"/>
        <v>4200</v>
      </c>
      <c r="Q46" s="228"/>
      <c r="R46" s="228"/>
      <c r="S46" s="289">
        <v>4200</v>
      </c>
      <c r="T46" s="232">
        <f t="shared" si="2"/>
        <v>17450</v>
      </c>
      <c r="U46" s="228"/>
      <c r="V46" s="228"/>
      <c r="W46" s="290">
        <v>17450</v>
      </c>
    </row>
    <row r="47" spans="1:23" s="235" customFormat="1" ht="31.2">
      <c r="A47" s="279" t="s">
        <v>546</v>
      </c>
      <c r="B47" s="280" t="s">
        <v>516</v>
      </c>
      <c r="C47" s="231"/>
      <c r="D47" s="227"/>
      <c r="E47" s="226"/>
      <c r="F47" s="285" t="s">
        <v>562</v>
      </c>
      <c r="G47" s="286" t="s">
        <v>563</v>
      </c>
      <c r="H47" s="287">
        <v>24372</v>
      </c>
      <c r="I47" s="232"/>
      <c r="J47" s="232"/>
      <c r="K47" s="287">
        <v>24372</v>
      </c>
      <c r="L47" s="232">
        <f t="shared" si="0"/>
        <v>3603</v>
      </c>
      <c r="M47" s="232"/>
      <c r="N47" s="232"/>
      <c r="O47" s="288">
        <f>100+3403+100</f>
        <v>3603</v>
      </c>
      <c r="P47" s="232">
        <f t="shared" si="1"/>
        <v>3900</v>
      </c>
      <c r="Q47" s="232"/>
      <c r="R47" s="232"/>
      <c r="S47" s="289">
        <v>3900</v>
      </c>
      <c r="T47" s="232">
        <f t="shared" si="2"/>
        <v>15450</v>
      </c>
      <c r="U47" s="232"/>
      <c r="V47" s="232"/>
      <c r="W47" s="290">
        <v>15450</v>
      </c>
    </row>
    <row r="48" spans="1:23" s="276" customFormat="1" ht="31.2">
      <c r="A48" s="279" t="s">
        <v>548</v>
      </c>
      <c r="B48" s="280" t="s">
        <v>482</v>
      </c>
      <c r="C48" s="229"/>
      <c r="D48" s="230"/>
      <c r="E48" s="234"/>
      <c r="F48" s="285" t="s">
        <v>564</v>
      </c>
      <c r="G48" s="286" t="s">
        <v>565</v>
      </c>
      <c r="H48" s="287">
        <v>65492</v>
      </c>
      <c r="I48" s="228"/>
      <c r="J48" s="228"/>
      <c r="K48" s="287">
        <v>65492</v>
      </c>
      <c r="L48" s="232">
        <f t="shared" si="0"/>
        <v>10908</v>
      </c>
      <c r="M48" s="228"/>
      <c r="N48" s="228"/>
      <c r="O48" s="301">
        <f>100+10808</f>
        <v>10908</v>
      </c>
      <c r="P48" s="232">
        <f t="shared" si="1"/>
        <v>11600</v>
      </c>
      <c r="Q48" s="228"/>
      <c r="R48" s="228"/>
      <c r="S48" s="303">
        <v>11600</v>
      </c>
      <c r="T48" s="232">
        <f t="shared" si="2"/>
        <v>4500</v>
      </c>
      <c r="U48" s="228"/>
      <c r="V48" s="228"/>
      <c r="W48" s="290">
        <v>4500</v>
      </c>
    </row>
    <row r="49" spans="1:23" s="235" customFormat="1" ht="31.2">
      <c r="A49" s="279" t="s">
        <v>566</v>
      </c>
      <c r="B49" s="280" t="s">
        <v>520</v>
      </c>
      <c r="C49" s="231"/>
      <c r="D49" s="227"/>
      <c r="E49" s="226"/>
      <c r="F49" s="227">
        <v>2169</v>
      </c>
      <c r="G49" s="286" t="s">
        <v>551</v>
      </c>
      <c r="H49" s="287">
        <v>26679</v>
      </c>
      <c r="I49" s="232"/>
      <c r="J49" s="232"/>
      <c r="K49" s="287">
        <v>26679</v>
      </c>
      <c r="L49" s="232">
        <f t="shared" si="0"/>
        <v>4200</v>
      </c>
      <c r="M49" s="232"/>
      <c r="N49" s="232"/>
      <c r="O49" s="301">
        <f>100+4100</f>
        <v>4200</v>
      </c>
      <c r="P49" s="232">
        <f t="shared" si="1"/>
        <v>4200</v>
      </c>
      <c r="Q49" s="232"/>
      <c r="R49" s="232"/>
      <c r="S49" s="303">
        <v>4200</v>
      </c>
      <c r="T49" s="232">
        <f t="shared" si="2"/>
        <v>17400</v>
      </c>
      <c r="U49" s="232"/>
      <c r="V49" s="232"/>
      <c r="W49" s="290">
        <v>17400</v>
      </c>
    </row>
    <row r="50" spans="1:23" s="235" customFormat="1" ht="16.8">
      <c r="A50" s="279" t="s">
        <v>567</v>
      </c>
      <c r="B50" s="280" t="s">
        <v>521</v>
      </c>
      <c r="C50" s="231"/>
      <c r="D50" s="227"/>
      <c r="E50" s="226"/>
      <c r="F50" s="227">
        <v>2435</v>
      </c>
      <c r="G50" s="286" t="s">
        <v>561</v>
      </c>
      <c r="H50" s="287">
        <v>25581</v>
      </c>
      <c r="I50" s="232"/>
      <c r="J50" s="232"/>
      <c r="K50" s="287">
        <v>25581</v>
      </c>
      <c r="L50" s="232">
        <f t="shared" si="0"/>
        <v>3658</v>
      </c>
      <c r="M50" s="232"/>
      <c r="N50" s="232"/>
      <c r="O50" s="301">
        <f>100+3458+100</f>
        <v>3658</v>
      </c>
      <c r="P50" s="232">
        <f t="shared" si="1"/>
        <v>3700</v>
      </c>
      <c r="Q50" s="232"/>
      <c r="R50" s="232"/>
      <c r="S50" s="303">
        <v>3700</v>
      </c>
      <c r="T50" s="232">
        <f t="shared" si="2"/>
        <v>17550</v>
      </c>
      <c r="U50" s="232"/>
      <c r="V50" s="232"/>
      <c r="W50" s="290">
        <v>17550</v>
      </c>
    </row>
    <row r="51" spans="1:23" s="235" customFormat="1" ht="46.8">
      <c r="A51" s="279" t="s">
        <v>568</v>
      </c>
      <c r="B51" s="280" t="s">
        <v>480</v>
      </c>
      <c r="C51" s="231"/>
      <c r="D51" s="227"/>
      <c r="E51" s="226"/>
      <c r="F51" s="285" t="s">
        <v>569</v>
      </c>
      <c r="G51" s="286">
        <v>45017</v>
      </c>
      <c r="H51" s="287">
        <v>8664</v>
      </c>
      <c r="I51" s="232"/>
      <c r="J51" s="232"/>
      <c r="K51" s="287">
        <v>8664</v>
      </c>
      <c r="L51" s="232">
        <f t="shared" si="0"/>
        <v>1994</v>
      </c>
      <c r="M51" s="232"/>
      <c r="N51" s="232"/>
      <c r="O51" s="301">
        <f>71+1923</f>
        <v>1994</v>
      </c>
      <c r="P51" s="232">
        <f t="shared" si="1"/>
        <v>4650</v>
      </c>
      <c r="Q51" s="232"/>
      <c r="R51" s="232"/>
      <c r="S51" s="303">
        <v>4650</v>
      </c>
      <c r="T51" s="232">
        <f t="shared" si="2"/>
        <v>3150</v>
      </c>
      <c r="U51" s="232"/>
      <c r="V51" s="232"/>
      <c r="W51" s="290">
        <v>3150</v>
      </c>
    </row>
    <row r="52" spans="1:23" s="276" customFormat="1" ht="16.8">
      <c r="A52" s="277" t="s">
        <v>459</v>
      </c>
      <c r="B52" s="278" t="s">
        <v>460</v>
      </c>
      <c r="C52" s="229"/>
      <c r="D52" s="230"/>
      <c r="E52" s="234"/>
      <c r="F52" s="227"/>
      <c r="G52" s="321"/>
      <c r="H52" s="226"/>
      <c r="I52" s="228"/>
      <c r="J52" s="228"/>
      <c r="K52" s="226"/>
      <c r="L52" s="232">
        <f t="shared" si="0"/>
        <v>131</v>
      </c>
      <c r="M52" s="228"/>
      <c r="N52" s="228"/>
      <c r="O52" s="228">
        <f>SUM(O53:O53)</f>
        <v>131</v>
      </c>
      <c r="P52" s="232">
        <f t="shared" si="1"/>
        <v>200</v>
      </c>
      <c r="Q52" s="228"/>
      <c r="R52" s="228"/>
      <c r="S52" s="274">
        <f>SUM(S53:S53)</f>
        <v>200</v>
      </c>
      <c r="T52" s="232">
        <f t="shared" si="2"/>
        <v>4110</v>
      </c>
      <c r="U52" s="228"/>
      <c r="V52" s="228"/>
      <c r="W52" s="275">
        <f>SUM(W53:W53)</f>
        <v>4110</v>
      </c>
    </row>
    <row r="53" spans="1:23" s="260" customFormat="1" ht="16.8">
      <c r="A53" s="295" t="s">
        <v>540</v>
      </c>
      <c r="B53" s="296" t="s">
        <v>550</v>
      </c>
      <c r="C53" s="297"/>
      <c r="D53" s="298"/>
      <c r="E53" s="299"/>
      <c r="F53" s="298">
        <v>2170</v>
      </c>
      <c r="G53" s="300" t="s">
        <v>551</v>
      </c>
      <c r="H53" s="301">
        <v>43461</v>
      </c>
      <c r="I53" s="232"/>
      <c r="J53" s="232"/>
      <c r="K53" s="301">
        <v>43461</v>
      </c>
      <c r="L53" s="232">
        <f t="shared" si="0"/>
        <v>131</v>
      </c>
      <c r="M53" s="232"/>
      <c r="N53" s="232"/>
      <c r="O53" s="232">
        <v>131</v>
      </c>
      <c r="P53" s="232">
        <f t="shared" si="1"/>
        <v>200</v>
      </c>
      <c r="Q53" s="232"/>
      <c r="R53" s="232"/>
      <c r="S53" s="302">
        <v>200</v>
      </c>
      <c r="T53" s="232">
        <f t="shared" si="2"/>
        <v>4110</v>
      </c>
      <c r="U53" s="232"/>
      <c r="V53" s="232"/>
      <c r="W53" s="301">
        <v>4110</v>
      </c>
    </row>
    <row r="54" spans="1:23" s="276" customFormat="1" ht="16.8">
      <c r="A54" s="277" t="s">
        <v>74</v>
      </c>
      <c r="B54" s="278" t="s">
        <v>483</v>
      </c>
      <c r="C54" s="229"/>
      <c r="D54" s="230"/>
      <c r="E54" s="234"/>
      <c r="F54" s="230"/>
      <c r="G54" s="312"/>
      <c r="H54" s="234"/>
      <c r="I54" s="228"/>
      <c r="J54" s="228"/>
      <c r="K54" s="234"/>
      <c r="L54" s="228">
        <f t="shared" si="0"/>
        <v>957847</v>
      </c>
      <c r="M54" s="228"/>
      <c r="N54" s="228"/>
      <c r="O54" s="228">
        <f>O55+O56+O74+O88</f>
        <v>957847</v>
      </c>
      <c r="P54" s="228">
        <f t="shared" si="1"/>
        <v>1177527</v>
      </c>
      <c r="Q54" s="228"/>
      <c r="R54" s="228"/>
      <c r="S54" s="274">
        <f>S55+S56+S74+S88+S105+S123+S126</f>
        <v>1177527</v>
      </c>
      <c r="T54" s="228">
        <f t="shared" si="2"/>
        <v>270000</v>
      </c>
      <c r="U54" s="228"/>
      <c r="V54" s="228"/>
      <c r="W54" s="275">
        <f>W55+W56+W74+W88+W105+W123+W126</f>
        <v>270000</v>
      </c>
    </row>
    <row r="55" spans="1:23" s="276" customFormat="1" ht="16.8">
      <c r="A55" s="277" t="s">
        <v>454</v>
      </c>
      <c r="B55" s="278" t="s">
        <v>484</v>
      </c>
      <c r="C55" s="229"/>
      <c r="D55" s="230"/>
      <c r="E55" s="234"/>
      <c r="F55" s="230"/>
      <c r="G55" s="312"/>
      <c r="H55" s="234"/>
      <c r="I55" s="228"/>
      <c r="J55" s="228"/>
      <c r="K55" s="234"/>
      <c r="L55" s="228">
        <f t="shared" si="0"/>
        <v>0</v>
      </c>
      <c r="M55" s="228"/>
      <c r="N55" s="228"/>
      <c r="O55" s="322"/>
      <c r="P55" s="228">
        <f t="shared" si="1"/>
        <v>25000</v>
      </c>
      <c r="Q55" s="228"/>
      <c r="R55" s="228"/>
      <c r="S55" s="323">
        <v>25000</v>
      </c>
      <c r="T55" s="228">
        <f t="shared" si="2"/>
        <v>15000</v>
      </c>
      <c r="U55" s="228"/>
      <c r="V55" s="228"/>
      <c r="W55" s="324">
        <v>15000</v>
      </c>
    </row>
    <row r="56" spans="1:23" s="276" customFormat="1" ht="16.8">
      <c r="A56" s="277" t="s">
        <v>454</v>
      </c>
      <c r="B56" s="278" t="s">
        <v>466</v>
      </c>
      <c r="C56" s="229"/>
      <c r="D56" s="230"/>
      <c r="E56" s="234"/>
      <c r="F56" s="230"/>
      <c r="G56" s="312"/>
      <c r="H56" s="234"/>
      <c r="I56" s="228"/>
      <c r="J56" s="228"/>
      <c r="K56" s="234"/>
      <c r="L56" s="228">
        <f t="shared" si="0"/>
        <v>97172</v>
      </c>
      <c r="M56" s="228"/>
      <c r="N56" s="228"/>
      <c r="O56" s="228">
        <f>O57+O68</f>
        <v>97172</v>
      </c>
      <c r="P56" s="228">
        <f t="shared" si="1"/>
        <v>104147</v>
      </c>
      <c r="Q56" s="228"/>
      <c r="R56" s="228"/>
      <c r="S56" s="274">
        <f>S57+S68</f>
        <v>104147</v>
      </c>
      <c r="T56" s="228">
        <f t="shared" si="2"/>
        <v>69900</v>
      </c>
      <c r="U56" s="228"/>
      <c r="V56" s="228"/>
      <c r="W56" s="275">
        <f>W57+W68</f>
        <v>69900</v>
      </c>
    </row>
    <row r="57" spans="1:23" s="276" customFormat="1" ht="16.8">
      <c r="A57" s="277" t="s">
        <v>6</v>
      </c>
      <c r="B57" s="278" t="s">
        <v>456</v>
      </c>
      <c r="C57" s="229"/>
      <c r="D57" s="230"/>
      <c r="E57" s="234"/>
      <c r="F57" s="230"/>
      <c r="G57" s="312"/>
      <c r="H57" s="234"/>
      <c r="I57" s="228"/>
      <c r="J57" s="228"/>
      <c r="K57" s="234"/>
      <c r="L57" s="228">
        <f t="shared" si="0"/>
        <v>97122</v>
      </c>
      <c r="M57" s="228"/>
      <c r="N57" s="228"/>
      <c r="O57" s="228">
        <f>O58+O61+O63</f>
        <v>97122</v>
      </c>
      <c r="P57" s="228">
        <f t="shared" si="1"/>
        <v>102737</v>
      </c>
      <c r="Q57" s="228"/>
      <c r="R57" s="228"/>
      <c r="S57" s="274">
        <f>S58+S61+S63</f>
        <v>102737</v>
      </c>
      <c r="T57" s="228">
        <f t="shared" si="2"/>
        <v>69100</v>
      </c>
      <c r="U57" s="228"/>
      <c r="V57" s="228"/>
      <c r="W57" s="275">
        <f>W58+W61+W63</f>
        <v>69100</v>
      </c>
    </row>
    <row r="58" spans="1:23" s="276" customFormat="1" ht="16.8">
      <c r="A58" s="277" t="s">
        <v>457</v>
      </c>
      <c r="B58" s="278" t="s">
        <v>458</v>
      </c>
      <c r="C58" s="229"/>
      <c r="D58" s="230"/>
      <c r="E58" s="234"/>
      <c r="F58" s="230"/>
      <c r="G58" s="312"/>
      <c r="H58" s="234"/>
      <c r="I58" s="228"/>
      <c r="J58" s="228"/>
      <c r="K58" s="234"/>
      <c r="L58" s="228">
        <f t="shared" si="0"/>
        <v>55152</v>
      </c>
      <c r="M58" s="228"/>
      <c r="N58" s="228"/>
      <c r="O58" s="228">
        <f>SUM(O59:O60)</f>
        <v>55152</v>
      </c>
      <c r="P58" s="228">
        <f t="shared" si="1"/>
        <v>55387</v>
      </c>
      <c r="Q58" s="228"/>
      <c r="R58" s="228"/>
      <c r="S58" s="274">
        <f>SUM(S59:S60)</f>
        <v>55387</v>
      </c>
      <c r="T58" s="228">
        <f t="shared" si="2"/>
        <v>26500</v>
      </c>
      <c r="U58" s="228"/>
      <c r="V58" s="228"/>
      <c r="W58" s="275">
        <f>SUM(W59:W60)</f>
        <v>26500</v>
      </c>
    </row>
    <row r="59" spans="1:23" s="276" customFormat="1" ht="31.2">
      <c r="A59" s="279" t="s">
        <v>540</v>
      </c>
      <c r="B59" s="280" t="s">
        <v>485</v>
      </c>
      <c r="C59" s="229"/>
      <c r="D59" s="230"/>
      <c r="E59" s="234"/>
      <c r="F59" s="285" t="s">
        <v>570</v>
      </c>
      <c r="G59" s="286">
        <v>43172</v>
      </c>
      <c r="H59" s="287">
        <v>11593</v>
      </c>
      <c r="I59" s="228"/>
      <c r="J59" s="228"/>
      <c r="K59" s="287">
        <v>11593</v>
      </c>
      <c r="L59" s="232">
        <f t="shared" si="0"/>
        <v>7345</v>
      </c>
      <c r="M59" s="228"/>
      <c r="N59" s="228"/>
      <c r="O59" s="301">
        <f>7091+254</f>
        <v>7345</v>
      </c>
      <c r="P59" s="232">
        <f t="shared" si="1"/>
        <v>8530</v>
      </c>
      <c r="Q59" s="228"/>
      <c r="R59" s="228"/>
      <c r="S59" s="303">
        <v>8530</v>
      </c>
      <c r="T59" s="232">
        <f t="shared" si="2"/>
        <v>100</v>
      </c>
      <c r="U59" s="228"/>
      <c r="V59" s="228"/>
      <c r="W59" s="290">
        <v>100</v>
      </c>
    </row>
    <row r="60" spans="1:23" s="276" customFormat="1" ht="46.8">
      <c r="A60" s="279" t="s">
        <v>543</v>
      </c>
      <c r="B60" s="280" t="s">
        <v>486</v>
      </c>
      <c r="C60" s="229"/>
      <c r="D60" s="230"/>
      <c r="E60" s="234"/>
      <c r="F60" s="285" t="s">
        <v>571</v>
      </c>
      <c r="G60" s="286">
        <v>43403</v>
      </c>
      <c r="H60" s="287">
        <v>88329</v>
      </c>
      <c r="I60" s="228"/>
      <c r="J60" s="228"/>
      <c r="K60" s="287">
        <v>88329</v>
      </c>
      <c r="L60" s="232">
        <f t="shared" si="0"/>
        <v>47807</v>
      </c>
      <c r="M60" s="228"/>
      <c r="N60" s="228"/>
      <c r="O60" s="301">
        <f>38507+9300</f>
        <v>47807</v>
      </c>
      <c r="P60" s="232">
        <f t="shared" si="1"/>
        <v>46857</v>
      </c>
      <c r="Q60" s="228"/>
      <c r="R60" s="228"/>
      <c r="S60" s="303">
        <v>46857</v>
      </c>
      <c r="T60" s="232">
        <f t="shared" si="2"/>
        <v>26400</v>
      </c>
      <c r="U60" s="228"/>
      <c r="V60" s="228"/>
      <c r="W60" s="290">
        <v>26400</v>
      </c>
    </row>
    <row r="61" spans="1:23" s="276" customFormat="1" ht="16.8">
      <c r="A61" s="277" t="s">
        <v>459</v>
      </c>
      <c r="B61" s="278" t="s">
        <v>472</v>
      </c>
      <c r="C61" s="229"/>
      <c r="D61" s="230"/>
      <c r="E61" s="234"/>
      <c r="F61" s="230"/>
      <c r="G61" s="312"/>
      <c r="H61" s="234"/>
      <c r="I61" s="228"/>
      <c r="J61" s="228"/>
      <c r="K61" s="234"/>
      <c r="L61" s="228">
        <f t="shared" si="0"/>
        <v>0</v>
      </c>
      <c r="M61" s="228"/>
      <c r="N61" s="228"/>
      <c r="O61" s="228">
        <f>O62</f>
        <v>0</v>
      </c>
      <c r="P61" s="228">
        <f t="shared" si="1"/>
        <v>100</v>
      </c>
      <c r="Q61" s="228"/>
      <c r="R61" s="228"/>
      <c r="S61" s="274">
        <f>S62</f>
        <v>100</v>
      </c>
      <c r="T61" s="228">
        <f t="shared" si="2"/>
        <v>10500</v>
      </c>
      <c r="U61" s="228"/>
      <c r="V61" s="228"/>
      <c r="W61" s="275">
        <f>W62</f>
        <v>10500</v>
      </c>
    </row>
    <row r="62" spans="1:23" s="235" customFormat="1" ht="46.8">
      <c r="A62" s="279" t="s">
        <v>540</v>
      </c>
      <c r="B62" s="280" t="s">
        <v>572</v>
      </c>
      <c r="C62" s="231"/>
      <c r="D62" s="227"/>
      <c r="E62" s="226"/>
      <c r="F62" s="316"/>
      <c r="G62" s="300"/>
      <c r="H62" s="287"/>
      <c r="I62" s="232"/>
      <c r="J62" s="232"/>
      <c r="K62" s="287"/>
      <c r="L62" s="232">
        <f t="shared" si="0"/>
        <v>0</v>
      </c>
      <c r="M62" s="232"/>
      <c r="N62" s="232"/>
      <c r="O62" s="301"/>
      <c r="P62" s="232">
        <f t="shared" si="1"/>
        <v>100</v>
      </c>
      <c r="Q62" s="232"/>
      <c r="R62" s="232"/>
      <c r="S62" s="303">
        <v>100</v>
      </c>
      <c r="T62" s="232">
        <f t="shared" si="2"/>
        <v>10500</v>
      </c>
      <c r="U62" s="232"/>
      <c r="V62" s="232"/>
      <c r="W62" s="290">
        <v>10500</v>
      </c>
    </row>
    <row r="63" spans="1:23" s="276" customFormat="1" ht="16.8">
      <c r="A63" s="277" t="s">
        <v>462</v>
      </c>
      <c r="B63" s="278" t="s">
        <v>463</v>
      </c>
      <c r="C63" s="229"/>
      <c r="D63" s="230"/>
      <c r="E63" s="234"/>
      <c r="F63" s="325"/>
      <c r="G63" s="326"/>
      <c r="H63" s="319"/>
      <c r="I63" s="228"/>
      <c r="J63" s="228"/>
      <c r="K63" s="319"/>
      <c r="L63" s="228">
        <f t="shared" si="0"/>
        <v>41970</v>
      </c>
      <c r="M63" s="228"/>
      <c r="N63" s="228"/>
      <c r="O63" s="292">
        <f>SUM(O64:O67)</f>
        <v>41970</v>
      </c>
      <c r="P63" s="228">
        <f t="shared" si="1"/>
        <v>47250</v>
      </c>
      <c r="Q63" s="228"/>
      <c r="R63" s="228"/>
      <c r="S63" s="293">
        <f>SUM(S64:S67)</f>
        <v>47250</v>
      </c>
      <c r="T63" s="228">
        <f t="shared" si="2"/>
        <v>32100</v>
      </c>
      <c r="U63" s="228"/>
      <c r="V63" s="228"/>
      <c r="W63" s="294">
        <f>SUM(W64:W67)</f>
        <v>32100</v>
      </c>
    </row>
    <row r="64" spans="1:23" s="235" customFormat="1" ht="31.2">
      <c r="A64" s="279" t="s">
        <v>540</v>
      </c>
      <c r="B64" s="280" t="s">
        <v>487</v>
      </c>
      <c r="C64" s="231"/>
      <c r="D64" s="227"/>
      <c r="E64" s="226"/>
      <c r="F64" s="311" t="s">
        <v>573</v>
      </c>
      <c r="G64" s="300">
        <v>44547</v>
      </c>
      <c r="H64" s="287">
        <v>22616</v>
      </c>
      <c r="I64" s="232"/>
      <c r="J64" s="232"/>
      <c r="K64" s="287">
        <v>22616</v>
      </c>
      <c r="L64" s="232">
        <f t="shared" si="0"/>
        <v>129</v>
      </c>
      <c r="M64" s="232"/>
      <c r="N64" s="232"/>
      <c r="O64" s="301">
        <f>88+41</f>
        <v>129</v>
      </c>
      <c r="P64" s="232">
        <f t="shared" si="1"/>
        <v>250</v>
      </c>
      <c r="Q64" s="232"/>
      <c r="R64" s="232"/>
      <c r="S64" s="303">
        <v>250</v>
      </c>
      <c r="T64" s="232">
        <f t="shared" si="2"/>
        <v>100</v>
      </c>
      <c r="U64" s="232"/>
      <c r="V64" s="232"/>
      <c r="W64" s="290">
        <v>100</v>
      </c>
    </row>
    <row r="65" spans="1:23" s="235" customFormat="1" ht="46.8">
      <c r="A65" s="279" t="s">
        <v>543</v>
      </c>
      <c r="B65" s="280" t="s">
        <v>488</v>
      </c>
      <c r="C65" s="231"/>
      <c r="D65" s="227"/>
      <c r="E65" s="226"/>
      <c r="F65" s="316" t="s">
        <v>574</v>
      </c>
      <c r="G65" s="300">
        <v>44778</v>
      </c>
      <c r="H65" s="301">
        <v>64989</v>
      </c>
      <c r="I65" s="232"/>
      <c r="J65" s="232"/>
      <c r="K65" s="301">
        <v>64989</v>
      </c>
      <c r="L65" s="232">
        <f t="shared" si="0"/>
        <v>594</v>
      </c>
      <c r="M65" s="232"/>
      <c r="N65" s="232"/>
      <c r="O65" s="301">
        <f>424+170</f>
        <v>594</v>
      </c>
      <c r="P65" s="232">
        <f t="shared" si="1"/>
        <v>4120</v>
      </c>
      <c r="Q65" s="232"/>
      <c r="R65" s="232"/>
      <c r="S65" s="303">
        <v>4120</v>
      </c>
      <c r="T65" s="232">
        <f t="shared" si="2"/>
        <v>20000</v>
      </c>
      <c r="U65" s="232"/>
      <c r="V65" s="232"/>
      <c r="W65" s="290">
        <v>20000</v>
      </c>
    </row>
    <row r="66" spans="1:23" s="276" customFormat="1" ht="31.2">
      <c r="A66" s="279" t="s">
        <v>546</v>
      </c>
      <c r="B66" s="280" t="s">
        <v>493</v>
      </c>
      <c r="C66" s="229"/>
      <c r="D66" s="230"/>
      <c r="E66" s="234"/>
      <c r="F66" s="316" t="s">
        <v>575</v>
      </c>
      <c r="G66" s="300" t="s">
        <v>576</v>
      </c>
      <c r="H66" s="287">
        <v>42817</v>
      </c>
      <c r="I66" s="228"/>
      <c r="J66" s="228"/>
      <c r="K66" s="287">
        <v>42817</v>
      </c>
      <c r="L66" s="232">
        <f t="shared" si="0"/>
        <v>98</v>
      </c>
      <c r="M66" s="228"/>
      <c r="N66" s="228"/>
      <c r="O66" s="301">
        <v>98</v>
      </c>
      <c r="P66" s="232">
        <f t="shared" si="1"/>
        <v>150</v>
      </c>
      <c r="Q66" s="228"/>
      <c r="R66" s="228"/>
      <c r="S66" s="303">
        <v>150</v>
      </c>
      <c r="T66" s="232">
        <f t="shared" si="2"/>
        <v>10000</v>
      </c>
      <c r="U66" s="228"/>
      <c r="V66" s="228"/>
      <c r="W66" s="290">
        <v>10000</v>
      </c>
    </row>
    <row r="67" spans="1:23" s="276" customFormat="1" ht="31.2">
      <c r="A67" s="279" t="s">
        <v>548</v>
      </c>
      <c r="B67" s="280" t="s">
        <v>489</v>
      </c>
      <c r="C67" s="229"/>
      <c r="D67" s="230"/>
      <c r="E67" s="234"/>
      <c r="F67" s="285" t="s">
        <v>577</v>
      </c>
      <c r="G67" s="300">
        <v>43460</v>
      </c>
      <c r="H67" s="287">
        <v>133332</v>
      </c>
      <c r="I67" s="228"/>
      <c r="J67" s="228"/>
      <c r="K67" s="287">
        <v>133332</v>
      </c>
      <c r="L67" s="232">
        <f t="shared" si="0"/>
        <v>41149</v>
      </c>
      <c r="M67" s="228"/>
      <c r="N67" s="228"/>
      <c r="O67" s="301">
        <f>37856+3293</f>
        <v>41149</v>
      </c>
      <c r="P67" s="232">
        <f t="shared" si="1"/>
        <v>42730</v>
      </c>
      <c r="Q67" s="228"/>
      <c r="R67" s="228"/>
      <c r="S67" s="303">
        <v>42730</v>
      </c>
      <c r="T67" s="232">
        <f t="shared" si="2"/>
        <v>2000</v>
      </c>
      <c r="U67" s="228"/>
      <c r="V67" s="228"/>
      <c r="W67" s="290">
        <v>2000</v>
      </c>
    </row>
    <row r="68" spans="1:23" s="276" customFormat="1" ht="16.8">
      <c r="A68" s="277" t="s">
        <v>11</v>
      </c>
      <c r="B68" s="278" t="s">
        <v>479</v>
      </c>
      <c r="C68" s="229"/>
      <c r="D68" s="230"/>
      <c r="E68" s="234"/>
      <c r="F68" s="230"/>
      <c r="G68" s="326"/>
      <c r="H68" s="234"/>
      <c r="I68" s="228"/>
      <c r="J68" s="228"/>
      <c r="K68" s="234"/>
      <c r="L68" s="228">
        <f t="shared" si="0"/>
        <v>50</v>
      </c>
      <c r="M68" s="228"/>
      <c r="N68" s="228"/>
      <c r="O68" s="228">
        <f>SUM(O69:O73)</f>
        <v>50</v>
      </c>
      <c r="P68" s="228">
        <f t="shared" si="1"/>
        <v>1410</v>
      </c>
      <c r="Q68" s="228"/>
      <c r="R68" s="228"/>
      <c r="S68" s="274">
        <f>SUM(S69:S73)</f>
        <v>1410</v>
      </c>
      <c r="T68" s="228">
        <f t="shared" si="2"/>
        <v>800</v>
      </c>
      <c r="U68" s="228"/>
      <c r="V68" s="228"/>
      <c r="W68" s="275">
        <f>SUM(W69:W73)</f>
        <v>800</v>
      </c>
    </row>
    <row r="69" spans="1:23" s="235" customFormat="1" ht="31.2">
      <c r="A69" s="279" t="s">
        <v>540</v>
      </c>
      <c r="B69" s="280" t="s">
        <v>490</v>
      </c>
      <c r="C69" s="231"/>
      <c r="D69" s="227"/>
      <c r="E69" s="226"/>
      <c r="F69" s="316" t="s">
        <v>578</v>
      </c>
      <c r="G69" s="300" t="s">
        <v>579</v>
      </c>
      <c r="H69" s="287">
        <v>30000</v>
      </c>
      <c r="I69" s="232"/>
      <c r="J69" s="232"/>
      <c r="K69" s="287">
        <v>30000</v>
      </c>
      <c r="L69" s="232">
        <f t="shared" si="0"/>
        <v>50</v>
      </c>
      <c r="M69" s="232"/>
      <c r="N69" s="232"/>
      <c r="O69" s="301">
        <v>50</v>
      </c>
      <c r="P69" s="232">
        <f t="shared" si="1"/>
        <v>110</v>
      </c>
      <c r="Q69" s="232"/>
      <c r="R69" s="232"/>
      <c r="S69" s="303">
        <v>110</v>
      </c>
      <c r="T69" s="232">
        <f t="shared" si="2"/>
        <v>50</v>
      </c>
      <c r="U69" s="232"/>
      <c r="V69" s="232"/>
      <c r="W69" s="290">
        <v>50</v>
      </c>
    </row>
    <row r="70" spans="1:23" s="235" customFormat="1" ht="31.2">
      <c r="A70" s="279" t="s">
        <v>543</v>
      </c>
      <c r="B70" s="280" t="s">
        <v>491</v>
      </c>
      <c r="C70" s="231"/>
      <c r="D70" s="227"/>
      <c r="E70" s="226"/>
      <c r="F70" s="316" t="s">
        <v>580</v>
      </c>
      <c r="G70" s="300">
        <v>43326</v>
      </c>
      <c r="H70" s="287">
        <v>10953</v>
      </c>
      <c r="I70" s="232"/>
      <c r="J70" s="232"/>
      <c r="K70" s="287">
        <v>10953</v>
      </c>
      <c r="L70" s="232">
        <f t="shared" si="0"/>
        <v>0</v>
      </c>
      <c r="M70" s="232"/>
      <c r="N70" s="232"/>
      <c r="O70" s="301">
        <v>0</v>
      </c>
      <c r="P70" s="232">
        <f t="shared" si="1"/>
        <v>150</v>
      </c>
      <c r="Q70" s="232"/>
      <c r="R70" s="232"/>
      <c r="S70" s="303">
        <v>150</v>
      </c>
      <c r="T70" s="232">
        <f t="shared" si="2"/>
        <v>100</v>
      </c>
      <c r="U70" s="232"/>
      <c r="V70" s="232"/>
      <c r="W70" s="290">
        <v>100</v>
      </c>
    </row>
    <row r="71" spans="1:23" s="235" customFormat="1" ht="16.8">
      <c r="A71" s="279" t="s">
        <v>546</v>
      </c>
      <c r="B71" s="280" t="s">
        <v>492</v>
      </c>
      <c r="C71" s="231"/>
      <c r="D71" s="227"/>
      <c r="E71" s="226"/>
      <c r="F71" s="316" t="s">
        <v>581</v>
      </c>
      <c r="G71" s="300">
        <v>44411</v>
      </c>
      <c r="H71" s="287">
        <v>40247</v>
      </c>
      <c r="I71" s="232"/>
      <c r="J71" s="232"/>
      <c r="K71" s="287">
        <v>40247</v>
      </c>
      <c r="L71" s="232">
        <f t="shared" si="0"/>
        <v>0</v>
      </c>
      <c r="M71" s="232"/>
      <c r="N71" s="232"/>
      <c r="O71" s="301"/>
      <c r="P71" s="232">
        <f t="shared" si="1"/>
        <v>200</v>
      </c>
      <c r="Q71" s="232"/>
      <c r="R71" s="232"/>
      <c r="S71" s="303">
        <v>200</v>
      </c>
      <c r="T71" s="232">
        <f t="shared" si="2"/>
        <v>400</v>
      </c>
      <c r="U71" s="232"/>
      <c r="V71" s="232"/>
      <c r="W71" s="290">
        <v>400</v>
      </c>
    </row>
    <row r="72" spans="1:23" s="235" customFormat="1" ht="46.8">
      <c r="A72" s="279" t="s">
        <v>566</v>
      </c>
      <c r="B72" s="280" t="s">
        <v>494</v>
      </c>
      <c r="C72" s="231"/>
      <c r="D72" s="227"/>
      <c r="E72" s="226"/>
      <c r="F72" s="316"/>
      <c r="G72" s="300"/>
      <c r="H72" s="287"/>
      <c r="I72" s="232"/>
      <c r="J72" s="232"/>
      <c r="K72" s="287"/>
      <c r="L72" s="232">
        <f t="shared" si="0"/>
        <v>0</v>
      </c>
      <c r="M72" s="232"/>
      <c r="N72" s="232"/>
      <c r="O72" s="301">
        <v>0</v>
      </c>
      <c r="P72" s="232">
        <f t="shared" si="1"/>
        <v>400</v>
      </c>
      <c r="Q72" s="232"/>
      <c r="R72" s="232"/>
      <c r="S72" s="303">
        <v>400</v>
      </c>
      <c r="T72" s="232">
        <f t="shared" si="2"/>
        <v>200</v>
      </c>
      <c r="U72" s="232"/>
      <c r="V72" s="232"/>
      <c r="W72" s="290">
        <v>200</v>
      </c>
    </row>
    <row r="73" spans="1:23" s="276" customFormat="1" ht="31.2">
      <c r="A73" s="279" t="s">
        <v>567</v>
      </c>
      <c r="B73" s="280" t="s">
        <v>582</v>
      </c>
      <c r="C73" s="229"/>
      <c r="D73" s="230"/>
      <c r="E73" s="234"/>
      <c r="F73" s="316"/>
      <c r="G73" s="300"/>
      <c r="H73" s="287"/>
      <c r="I73" s="228"/>
      <c r="J73" s="228"/>
      <c r="K73" s="287"/>
      <c r="L73" s="232">
        <f t="shared" si="0"/>
        <v>0</v>
      </c>
      <c r="M73" s="228"/>
      <c r="N73" s="228"/>
      <c r="O73" s="301">
        <v>0</v>
      </c>
      <c r="P73" s="232">
        <f t="shared" si="1"/>
        <v>550</v>
      </c>
      <c r="Q73" s="228"/>
      <c r="R73" s="228"/>
      <c r="S73" s="303">
        <v>550</v>
      </c>
      <c r="T73" s="232">
        <f t="shared" si="2"/>
        <v>50</v>
      </c>
      <c r="U73" s="228"/>
      <c r="V73" s="228"/>
      <c r="W73" s="290">
        <v>50</v>
      </c>
    </row>
    <row r="74" spans="1:23" s="276" customFormat="1" ht="16.8">
      <c r="A74" s="277" t="s">
        <v>454</v>
      </c>
      <c r="B74" s="278" t="s">
        <v>495</v>
      </c>
      <c r="C74" s="229"/>
      <c r="D74" s="234"/>
      <c r="E74" s="234"/>
      <c r="F74" s="230"/>
      <c r="G74" s="312"/>
      <c r="H74" s="234"/>
      <c r="I74" s="228"/>
      <c r="J74" s="228"/>
      <c r="K74" s="234"/>
      <c r="L74" s="228">
        <f t="shared" si="0"/>
        <v>33998</v>
      </c>
      <c r="M74" s="228"/>
      <c r="N74" s="228"/>
      <c r="O74" s="228">
        <f>O75+O83</f>
        <v>33998</v>
      </c>
      <c r="P74" s="228">
        <f t="shared" si="1"/>
        <v>72716</v>
      </c>
      <c r="Q74" s="228"/>
      <c r="R74" s="228"/>
      <c r="S74" s="274">
        <f>S75+S83</f>
        <v>72716</v>
      </c>
      <c r="T74" s="228">
        <f t="shared" si="2"/>
        <v>62250</v>
      </c>
      <c r="U74" s="228"/>
      <c r="V74" s="228"/>
      <c r="W74" s="275">
        <f>W75+W83</f>
        <v>62250</v>
      </c>
    </row>
    <row r="75" spans="1:23" s="276" customFormat="1" ht="16.8">
      <c r="A75" s="277" t="s">
        <v>6</v>
      </c>
      <c r="B75" s="278" t="s">
        <v>456</v>
      </c>
      <c r="C75" s="229"/>
      <c r="D75" s="234"/>
      <c r="E75" s="234"/>
      <c r="F75" s="230"/>
      <c r="G75" s="312"/>
      <c r="H75" s="234"/>
      <c r="I75" s="228"/>
      <c r="J75" s="228"/>
      <c r="K75" s="234"/>
      <c r="L75" s="228">
        <f t="shared" ref="L75:L138" si="3">+SUM(M75:O75)</f>
        <v>33805</v>
      </c>
      <c r="M75" s="228"/>
      <c r="N75" s="228"/>
      <c r="O75" s="228">
        <f>O76+O78+O80</f>
        <v>33805</v>
      </c>
      <c r="P75" s="228">
        <f t="shared" ref="P75:P138" si="4">+SUM(Q75:S75)</f>
        <v>71512</v>
      </c>
      <c r="Q75" s="228"/>
      <c r="R75" s="228"/>
      <c r="S75" s="274">
        <f>S76+S78+S80</f>
        <v>71512</v>
      </c>
      <c r="T75" s="228">
        <f t="shared" ref="T75:T138" si="5">SUM(U75:W75)</f>
        <v>61050</v>
      </c>
      <c r="U75" s="228"/>
      <c r="V75" s="228"/>
      <c r="W75" s="275">
        <f>W76+W78+W80</f>
        <v>61050</v>
      </c>
    </row>
    <row r="76" spans="1:23" s="276" customFormat="1" ht="16.8">
      <c r="A76" s="277" t="s">
        <v>457</v>
      </c>
      <c r="B76" s="278" t="s">
        <v>458</v>
      </c>
      <c r="C76" s="229"/>
      <c r="D76" s="234"/>
      <c r="E76" s="234"/>
      <c r="F76" s="230"/>
      <c r="G76" s="312"/>
      <c r="H76" s="234"/>
      <c r="I76" s="228"/>
      <c r="J76" s="228"/>
      <c r="K76" s="234"/>
      <c r="L76" s="228">
        <f t="shared" si="3"/>
        <v>18941</v>
      </c>
      <c r="M76" s="228"/>
      <c r="N76" s="228"/>
      <c r="O76" s="228">
        <f>O77</f>
        <v>18941</v>
      </c>
      <c r="P76" s="228">
        <f t="shared" si="4"/>
        <v>21600</v>
      </c>
      <c r="Q76" s="228"/>
      <c r="R76" s="228"/>
      <c r="S76" s="274">
        <f>S77</f>
        <v>21600</v>
      </c>
      <c r="T76" s="228">
        <f t="shared" si="5"/>
        <v>50000</v>
      </c>
      <c r="U76" s="228"/>
      <c r="V76" s="228"/>
      <c r="W76" s="275">
        <f>W77</f>
        <v>50000</v>
      </c>
    </row>
    <row r="77" spans="1:23" s="235" customFormat="1" ht="31.2">
      <c r="A77" s="279" t="s">
        <v>540</v>
      </c>
      <c r="B77" s="280" t="s">
        <v>496</v>
      </c>
      <c r="C77" s="231"/>
      <c r="D77" s="226"/>
      <c r="E77" s="226"/>
      <c r="F77" s="227">
        <v>4354</v>
      </c>
      <c r="G77" s="321" t="s">
        <v>583</v>
      </c>
      <c r="H77" s="327">
        <v>93941</v>
      </c>
      <c r="I77" s="232"/>
      <c r="J77" s="232"/>
      <c r="K77" s="327">
        <v>93941</v>
      </c>
      <c r="L77" s="232">
        <f t="shared" si="3"/>
        <v>18941</v>
      </c>
      <c r="M77" s="232"/>
      <c r="N77" s="232"/>
      <c r="O77" s="299">
        <f>18941</f>
        <v>18941</v>
      </c>
      <c r="P77" s="232">
        <f t="shared" si="4"/>
        <v>21600</v>
      </c>
      <c r="Q77" s="232"/>
      <c r="R77" s="232"/>
      <c r="S77" s="328">
        <v>21600</v>
      </c>
      <c r="T77" s="232">
        <f t="shared" si="5"/>
        <v>50000</v>
      </c>
      <c r="U77" s="232"/>
      <c r="V77" s="232"/>
      <c r="W77" s="290">
        <v>50000</v>
      </c>
    </row>
    <row r="78" spans="1:23" s="235" customFormat="1" ht="16.8">
      <c r="A78" s="277" t="s">
        <v>459</v>
      </c>
      <c r="B78" s="278" t="s">
        <v>472</v>
      </c>
      <c r="C78" s="231"/>
      <c r="D78" s="226"/>
      <c r="E78" s="226"/>
      <c r="F78" s="227"/>
      <c r="G78" s="321"/>
      <c r="H78" s="287"/>
      <c r="I78" s="232"/>
      <c r="J78" s="232"/>
      <c r="K78" s="287"/>
      <c r="L78" s="232">
        <f t="shared" si="3"/>
        <v>0</v>
      </c>
      <c r="M78" s="232"/>
      <c r="N78" s="232"/>
      <c r="O78" s="228"/>
      <c r="P78" s="232">
        <f t="shared" si="4"/>
        <v>0</v>
      </c>
      <c r="Q78" s="232"/>
      <c r="R78" s="232"/>
      <c r="S78" s="274"/>
      <c r="T78" s="232">
        <f t="shared" si="5"/>
        <v>4000</v>
      </c>
      <c r="U78" s="232"/>
      <c r="V78" s="232"/>
      <c r="W78" s="275">
        <f>W79</f>
        <v>4000</v>
      </c>
    </row>
    <row r="79" spans="1:23" s="235" customFormat="1" ht="31.2">
      <c r="A79" s="279" t="s">
        <v>540</v>
      </c>
      <c r="B79" s="280" t="s">
        <v>584</v>
      </c>
      <c r="C79" s="231"/>
      <c r="D79" s="226"/>
      <c r="E79" s="226"/>
      <c r="F79" s="227"/>
      <c r="G79" s="321"/>
      <c r="H79" s="327"/>
      <c r="I79" s="232"/>
      <c r="J79" s="232"/>
      <c r="K79" s="327"/>
      <c r="L79" s="232">
        <f t="shared" si="3"/>
        <v>100</v>
      </c>
      <c r="M79" s="232"/>
      <c r="N79" s="232"/>
      <c r="O79" s="299">
        <v>100</v>
      </c>
      <c r="P79" s="232">
        <f t="shared" si="4"/>
        <v>100</v>
      </c>
      <c r="Q79" s="232"/>
      <c r="R79" s="232"/>
      <c r="S79" s="305">
        <v>100</v>
      </c>
      <c r="T79" s="232">
        <f t="shared" si="5"/>
        <v>4000</v>
      </c>
      <c r="U79" s="232"/>
      <c r="V79" s="232"/>
      <c r="W79" s="329">
        <v>4000</v>
      </c>
    </row>
    <row r="80" spans="1:23" s="276" customFormat="1" ht="16.8">
      <c r="A80" s="277" t="s">
        <v>462</v>
      </c>
      <c r="B80" s="278" t="s">
        <v>463</v>
      </c>
      <c r="C80" s="330"/>
      <c r="D80" s="234"/>
      <c r="E80" s="234"/>
      <c r="F80" s="230"/>
      <c r="G80" s="312"/>
      <c r="H80" s="307"/>
      <c r="I80" s="228"/>
      <c r="J80" s="228"/>
      <c r="K80" s="307"/>
      <c r="L80" s="228">
        <f t="shared" si="3"/>
        <v>14864</v>
      </c>
      <c r="M80" s="228"/>
      <c r="N80" s="228"/>
      <c r="O80" s="292">
        <f>O81</f>
        <v>14864</v>
      </c>
      <c r="P80" s="228">
        <f t="shared" si="4"/>
        <v>49912</v>
      </c>
      <c r="Q80" s="228"/>
      <c r="R80" s="228"/>
      <c r="S80" s="293">
        <f>SUM(S81:S82)</f>
        <v>49912</v>
      </c>
      <c r="T80" s="228">
        <f t="shared" si="5"/>
        <v>7050</v>
      </c>
      <c r="U80" s="228"/>
      <c r="V80" s="228"/>
      <c r="W80" s="294">
        <f>SUM(W81:W82)</f>
        <v>7050</v>
      </c>
    </row>
    <row r="81" spans="1:23" s="276" customFormat="1" ht="16.8">
      <c r="A81" s="279" t="s">
        <v>540</v>
      </c>
      <c r="B81" s="280" t="s">
        <v>497</v>
      </c>
      <c r="C81" s="234"/>
      <c r="D81" s="234"/>
      <c r="E81" s="234"/>
      <c r="F81" s="285" t="s">
        <v>585</v>
      </c>
      <c r="G81" s="286">
        <v>43404</v>
      </c>
      <c r="H81" s="287">
        <v>29371</v>
      </c>
      <c r="I81" s="228"/>
      <c r="J81" s="228"/>
      <c r="K81" s="287">
        <v>29371</v>
      </c>
      <c r="L81" s="232">
        <f t="shared" si="3"/>
        <v>14864</v>
      </c>
      <c r="M81" s="228"/>
      <c r="N81" s="228"/>
      <c r="O81" s="301">
        <f>12864+2000</f>
        <v>14864</v>
      </c>
      <c r="P81" s="232">
        <f t="shared" si="4"/>
        <v>49700</v>
      </c>
      <c r="Q81" s="228"/>
      <c r="R81" s="228"/>
      <c r="S81" s="303">
        <v>49700</v>
      </c>
      <c r="T81" s="232">
        <f t="shared" si="5"/>
        <v>50</v>
      </c>
      <c r="U81" s="228"/>
      <c r="V81" s="228"/>
      <c r="W81" s="290">
        <v>50</v>
      </c>
    </row>
    <row r="82" spans="1:23" s="276" customFormat="1" ht="16.8">
      <c r="A82" s="279" t="s">
        <v>543</v>
      </c>
      <c r="B82" s="280" t="s">
        <v>499</v>
      </c>
      <c r="C82" s="234"/>
      <c r="D82" s="234"/>
      <c r="E82" s="234"/>
      <c r="F82" s="227" t="s">
        <v>586</v>
      </c>
      <c r="G82" s="321" t="s">
        <v>587</v>
      </c>
      <c r="H82" s="331">
        <v>21810</v>
      </c>
      <c r="I82" s="228"/>
      <c r="J82" s="228"/>
      <c r="K82" s="331">
        <v>21810</v>
      </c>
      <c r="L82" s="232">
        <f t="shared" si="3"/>
        <v>0</v>
      </c>
      <c r="M82" s="228"/>
      <c r="N82" s="228"/>
      <c r="O82" s="299"/>
      <c r="P82" s="232">
        <f t="shared" si="4"/>
        <v>212</v>
      </c>
      <c r="Q82" s="228"/>
      <c r="R82" s="228"/>
      <c r="S82" s="328">
        <v>212</v>
      </c>
      <c r="T82" s="232">
        <f t="shared" si="5"/>
        <v>7000</v>
      </c>
      <c r="U82" s="228"/>
      <c r="V82" s="228"/>
      <c r="W82" s="329">
        <v>7000</v>
      </c>
    </row>
    <row r="83" spans="1:23" s="276" customFormat="1" ht="16.8">
      <c r="A83" s="277" t="s">
        <v>11</v>
      </c>
      <c r="B83" s="278" t="s">
        <v>479</v>
      </c>
      <c r="C83" s="234"/>
      <c r="D83" s="234"/>
      <c r="E83" s="234"/>
      <c r="F83" s="227"/>
      <c r="G83" s="321"/>
      <c r="H83" s="287"/>
      <c r="I83" s="228"/>
      <c r="J83" s="228"/>
      <c r="K83" s="287"/>
      <c r="L83" s="232">
        <f t="shared" si="3"/>
        <v>193</v>
      </c>
      <c r="M83" s="228"/>
      <c r="N83" s="228"/>
      <c r="O83" s="228">
        <f>SUM(O84:O87)</f>
        <v>193</v>
      </c>
      <c r="P83" s="232">
        <f t="shared" si="4"/>
        <v>1204</v>
      </c>
      <c r="Q83" s="228"/>
      <c r="R83" s="228"/>
      <c r="S83" s="274">
        <f>SUM(S84:S87)</f>
        <v>1204</v>
      </c>
      <c r="T83" s="232">
        <f t="shared" si="5"/>
        <v>1200</v>
      </c>
      <c r="U83" s="228"/>
      <c r="V83" s="228"/>
      <c r="W83" s="275">
        <f>SUM(W84:W87)</f>
        <v>1200</v>
      </c>
    </row>
    <row r="84" spans="1:23" s="276" customFormat="1" ht="31.2">
      <c r="A84" s="279">
        <v>1</v>
      </c>
      <c r="B84" s="280" t="s">
        <v>498</v>
      </c>
      <c r="C84" s="234"/>
      <c r="D84" s="234"/>
      <c r="E84" s="234"/>
      <c r="F84" s="227"/>
      <c r="G84" s="321"/>
      <c r="H84" s="287"/>
      <c r="I84" s="228"/>
      <c r="J84" s="228"/>
      <c r="K84" s="287"/>
      <c r="L84" s="232">
        <f t="shared" si="3"/>
        <v>193</v>
      </c>
      <c r="M84" s="228"/>
      <c r="N84" s="228"/>
      <c r="O84" s="299">
        <v>193</v>
      </c>
      <c r="P84" s="232">
        <f t="shared" si="4"/>
        <v>404</v>
      </c>
      <c r="Q84" s="228"/>
      <c r="R84" s="228"/>
      <c r="S84" s="305">
        <v>404</v>
      </c>
      <c r="T84" s="232">
        <f t="shared" si="5"/>
        <v>50</v>
      </c>
      <c r="U84" s="228"/>
      <c r="V84" s="228"/>
      <c r="W84" s="290">
        <v>50</v>
      </c>
    </row>
    <row r="85" spans="1:23" s="235" customFormat="1" ht="31.2">
      <c r="A85" s="279" t="s">
        <v>543</v>
      </c>
      <c r="B85" s="280" t="s">
        <v>500</v>
      </c>
      <c r="C85" s="226"/>
      <c r="D85" s="226"/>
      <c r="E85" s="226"/>
      <c r="F85" s="227"/>
      <c r="G85" s="321"/>
      <c r="H85" s="327">
        <v>10000</v>
      </c>
      <c r="I85" s="232"/>
      <c r="J85" s="232"/>
      <c r="K85" s="327">
        <v>10000</v>
      </c>
      <c r="L85" s="232">
        <f t="shared" si="3"/>
        <v>0</v>
      </c>
      <c r="M85" s="232"/>
      <c r="N85" s="232"/>
      <c r="O85" s="299"/>
      <c r="P85" s="232">
        <f t="shared" si="4"/>
        <v>700</v>
      </c>
      <c r="Q85" s="232"/>
      <c r="R85" s="232"/>
      <c r="S85" s="305">
        <v>700</v>
      </c>
      <c r="T85" s="232">
        <f t="shared" si="5"/>
        <v>50</v>
      </c>
      <c r="U85" s="232"/>
      <c r="V85" s="232"/>
      <c r="W85" s="290">
        <v>50</v>
      </c>
    </row>
    <row r="86" spans="1:23" s="235" customFormat="1" ht="46.8">
      <c r="A86" s="279" t="s">
        <v>546</v>
      </c>
      <c r="B86" s="280" t="s">
        <v>501</v>
      </c>
      <c r="C86" s="226"/>
      <c r="D86" s="226"/>
      <c r="E86" s="226"/>
      <c r="F86" s="227"/>
      <c r="G86" s="321"/>
      <c r="H86" s="327"/>
      <c r="I86" s="232"/>
      <c r="J86" s="232"/>
      <c r="K86" s="327"/>
      <c r="L86" s="232">
        <f t="shared" si="3"/>
        <v>0</v>
      </c>
      <c r="M86" s="232"/>
      <c r="N86" s="232"/>
      <c r="O86" s="299">
        <v>0</v>
      </c>
      <c r="P86" s="232">
        <f t="shared" si="4"/>
        <v>100</v>
      </c>
      <c r="Q86" s="232"/>
      <c r="R86" s="232"/>
      <c r="S86" s="328">
        <v>100</v>
      </c>
      <c r="T86" s="232">
        <f t="shared" si="5"/>
        <v>1000</v>
      </c>
      <c r="U86" s="232"/>
      <c r="V86" s="232"/>
      <c r="W86" s="290">
        <v>1000</v>
      </c>
    </row>
    <row r="87" spans="1:23" s="235" customFormat="1" ht="31.2">
      <c r="A87" s="279" t="s">
        <v>548</v>
      </c>
      <c r="B87" s="280" t="s">
        <v>588</v>
      </c>
      <c r="C87" s="226"/>
      <c r="D87" s="226"/>
      <c r="E87" s="226"/>
      <c r="F87" s="227"/>
      <c r="G87" s="321"/>
      <c r="H87" s="327">
        <v>6200</v>
      </c>
      <c r="I87" s="232"/>
      <c r="J87" s="232"/>
      <c r="K87" s="327">
        <v>6200</v>
      </c>
      <c r="L87" s="232">
        <f t="shared" si="3"/>
        <v>0</v>
      </c>
      <c r="M87" s="232"/>
      <c r="N87" s="232"/>
      <c r="O87" s="299"/>
      <c r="P87" s="232">
        <f t="shared" si="4"/>
        <v>0</v>
      </c>
      <c r="Q87" s="232"/>
      <c r="R87" s="232"/>
      <c r="S87" s="305"/>
      <c r="T87" s="232">
        <f t="shared" si="5"/>
        <v>100</v>
      </c>
      <c r="U87" s="232"/>
      <c r="V87" s="232"/>
      <c r="W87" s="290">
        <v>100</v>
      </c>
    </row>
    <row r="88" spans="1:23" s="276" customFormat="1" ht="16.8">
      <c r="A88" s="277" t="s">
        <v>454</v>
      </c>
      <c r="B88" s="278" t="s">
        <v>470</v>
      </c>
      <c r="C88" s="234"/>
      <c r="D88" s="234"/>
      <c r="E88" s="234"/>
      <c r="F88" s="227"/>
      <c r="G88" s="321"/>
      <c r="H88" s="287"/>
      <c r="I88" s="228"/>
      <c r="J88" s="228"/>
      <c r="K88" s="287"/>
      <c r="L88" s="232">
        <f t="shared" si="3"/>
        <v>826677</v>
      </c>
      <c r="M88" s="228"/>
      <c r="N88" s="228"/>
      <c r="O88" s="228">
        <f>O89+O96</f>
        <v>826677</v>
      </c>
      <c r="P88" s="232">
        <f t="shared" si="4"/>
        <v>890435</v>
      </c>
      <c r="Q88" s="228"/>
      <c r="R88" s="228"/>
      <c r="S88" s="274">
        <f>S89+S96</f>
        <v>890435</v>
      </c>
      <c r="T88" s="232">
        <f t="shared" si="5"/>
        <v>112342</v>
      </c>
      <c r="U88" s="228"/>
      <c r="V88" s="228"/>
      <c r="W88" s="275">
        <f>W89+W96</f>
        <v>112342</v>
      </c>
    </row>
    <row r="89" spans="1:23" s="235" customFormat="1" ht="16.8">
      <c r="A89" s="277" t="s">
        <v>6</v>
      </c>
      <c r="B89" s="278" t="s">
        <v>456</v>
      </c>
      <c r="C89" s="226"/>
      <c r="D89" s="226"/>
      <c r="E89" s="226"/>
      <c r="F89" s="227"/>
      <c r="G89" s="321"/>
      <c r="H89" s="287"/>
      <c r="I89" s="232"/>
      <c r="J89" s="232"/>
      <c r="K89" s="287"/>
      <c r="L89" s="232">
        <f t="shared" si="3"/>
        <v>826080</v>
      </c>
      <c r="M89" s="232"/>
      <c r="N89" s="232"/>
      <c r="O89" s="228">
        <f>O93+O90+O94</f>
        <v>826080</v>
      </c>
      <c r="P89" s="232">
        <f t="shared" si="4"/>
        <v>886585</v>
      </c>
      <c r="Q89" s="232"/>
      <c r="R89" s="232"/>
      <c r="S89" s="274">
        <f>S90+S93+S94</f>
        <v>886585</v>
      </c>
      <c r="T89" s="232">
        <f t="shared" si="5"/>
        <v>111192</v>
      </c>
      <c r="U89" s="232"/>
      <c r="V89" s="232"/>
      <c r="W89" s="275">
        <f>W90+W93+W94</f>
        <v>111192</v>
      </c>
    </row>
    <row r="90" spans="1:23" s="276" customFormat="1" ht="16.8">
      <c r="A90" s="277" t="s">
        <v>457</v>
      </c>
      <c r="B90" s="278" t="s">
        <v>458</v>
      </c>
      <c r="C90" s="234"/>
      <c r="D90" s="234"/>
      <c r="E90" s="234"/>
      <c r="F90" s="227"/>
      <c r="G90" s="321"/>
      <c r="H90" s="287"/>
      <c r="I90" s="228"/>
      <c r="J90" s="228"/>
      <c r="K90" s="287"/>
      <c r="L90" s="232">
        <f t="shared" si="3"/>
        <v>770614</v>
      </c>
      <c r="M90" s="228"/>
      <c r="N90" s="228"/>
      <c r="O90" s="228">
        <f>SUM(O91:O92)</f>
        <v>770614</v>
      </c>
      <c r="P90" s="232">
        <f t="shared" si="4"/>
        <v>808599</v>
      </c>
      <c r="Q90" s="228"/>
      <c r="R90" s="228"/>
      <c r="S90" s="274">
        <f>SUM(S91:S92)</f>
        <v>808599</v>
      </c>
      <c r="T90" s="232">
        <f t="shared" si="5"/>
        <v>111092</v>
      </c>
      <c r="U90" s="228"/>
      <c r="V90" s="228"/>
      <c r="W90" s="275">
        <f>SUM(W91:W92)</f>
        <v>111092</v>
      </c>
    </row>
    <row r="91" spans="1:23" s="235" customFormat="1" ht="31.2">
      <c r="A91" s="279" t="s">
        <v>540</v>
      </c>
      <c r="B91" s="280" t="s">
        <v>502</v>
      </c>
      <c r="C91" s="231"/>
      <c r="D91" s="226"/>
      <c r="E91" s="226"/>
      <c r="F91" s="285" t="s">
        <v>547</v>
      </c>
      <c r="G91" s="286">
        <v>44782</v>
      </c>
      <c r="H91" s="287">
        <v>93362</v>
      </c>
      <c r="I91" s="232"/>
      <c r="J91" s="232"/>
      <c r="K91" s="287">
        <v>93362</v>
      </c>
      <c r="L91" s="232">
        <f t="shared" si="3"/>
        <v>51382</v>
      </c>
      <c r="M91" s="232"/>
      <c r="N91" s="232"/>
      <c r="O91" s="301">
        <f>44595+6787</f>
        <v>51382</v>
      </c>
      <c r="P91" s="232">
        <f t="shared" si="4"/>
        <v>83240</v>
      </c>
      <c r="Q91" s="232"/>
      <c r="R91" s="232"/>
      <c r="S91" s="303">
        <v>83240</v>
      </c>
      <c r="T91" s="232">
        <f t="shared" si="5"/>
        <v>16900</v>
      </c>
      <c r="U91" s="232"/>
      <c r="V91" s="232"/>
      <c r="W91" s="290">
        <v>16900</v>
      </c>
    </row>
    <row r="92" spans="1:23" s="260" customFormat="1" ht="31.2">
      <c r="A92" s="295" t="s">
        <v>543</v>
      </c>
      <c r="B92" s="296" t="s">
        <v>471</v>
      </c>
      <c r="C92" s="297"/>
      <c r="D92" s="299"/>
      <c r="E92" s="299"/>
      <c r="F92" s="316" t="s">
        <v>589</v>
      </c>
      <c r="G92" s="300">
        <v>43965</v>
      </c>
      <c r="H92" s="301">
        <v>825796</v>
      </c>
      <c r="I92" s="232"/>
      <c r="J92" s="232"/>
      <c r="K92" s="301">
        <v>825796</v>
      </c>
      <c r="L92" s="232">
        <f t="shared" si="3"/>
        <v>719232</v>
      </c>
      <c r="M92" s="232"/>
      <c r="N92" s="232"/>
      <c r="O92" s="301">
        <f>553204+95578+70450</f>
        <v>719232</v>
      </c>
      <c r="P92" s="232">
        <f t="shared" si="4"/>
        <v>725359</v>
      </c>
      <c r="Q92" s="228"/>
      <c r="R92" s="228"/>
      <c r="S92" s="303">
        <f>552329+102580+70450</f>
        <v>725359</v>
      </c>
      <c r="T92" s="232">
        <f t="shared" si="5"/>
        <v>94192</v>
      </c>
      <c r="U92" s="232"/>
      <c r="V92" s="232"/>
      <c r="W92" s="317">
        <v>94192</v>
      </c>
    </row>
    <row r="93" spans="1:23" s="235" customFormat="1" ht="16.8">
      <c r="A93" s="277" t="s">
        <v>459</v>
      </c>
      <c r="B93" s="278" t="s">
        <v>472</v>
      </c>
      <c r="C93" s="226"/>
      <c r="D93" s="226"/>
      <c r="E93" s="226"/>
      <c r="F93" s="227"/>
      <c r="G93" s="321"/>
      <c r="H93" s="226"/>
      <c r="I93" s="232"/>
      <c r="J93" s="232"/>
      <c r="K93" s="226"/>
      <c r="L93" s="232">
        <f t="shared" si="3"/>
        <v>0</v>
      </c>
      <c r="M93" s="232"/>
      <c r="N93" s="232"/>
      <c r="O93" s="292"/>
      <c r="P93" s="232">
        <f t="shared" si="4"/>
        <v>0</v>
      </c>
      <c r="Q93" s="232"/>
      <c r="R93" s="232"/>
      <c r="S93" s="293"/>
      <c r="T93" s="232">
        <f t="shared" si="5"/>
        <v>0</v>
      </c>
      <c r="U93" s="232"/>
      <c r="V93" s="232"/>
      <c r="W93" s="294"/>
    </row>
    <row r="94" spans="1:23" s="235" customFormat="1" ht="16.8">
      <c r="A94" s="277" t="s">
        <v>462</v>
      </c>
      <c r="B94" s="278" t="s">
        <v>463</v>
      </c>
      <c r="C94" s="233"/>
      <c r="D94" s="226"/>
      <c r="E94" s="226"/>
      <c r="F94" s="306"/>
      <c r="G94" s="291"/>
      <c r="H94" s="307"/>
      <c r="I94" s="232"/>
      <c r="J94" s="232"/>
      <c r="K94" s="307"/>
      <c r="L94" s="232">
        <f t="shared" si="3"/>
        <v>55466</v>
      </c>
      <c r="M94" s="232"/>
      <c r="N94" s="232"/>
      <c r="O94" s="292">
        <f>SUM(O95:O95)</f>
        <v>55466</v>
      </c>
      <c r="P94" s="232">
        <f t="shared" si="4"/>
        <v>77986</v>
      </c>
      <c r="Q94" s="232"/>
      <c r="R94" s="232"/>
      <c r="S94" s="293">
        <f>SUM(S95:S95)</f>
        <v>77986</v>
      </c>
      <c r="T94" s="232">
        <f t="shared" si="5"/>
        <v>100</v>
      </c>
      <c r="U94" s="232"/>
      <c r="V94" s="232"/>
      <c r="W94" s="294">
        <f>SUM(W95:W95)</f>
        <v>100</v>
      </c>
    </row>
    <row r="95" spans="1:23" s="276" customFormat="1" ht="31.2">
      <c r="A95" s="279" t="s">
        <v>540</v>
      </c>
      <c r="B95" s="280" t="s">
        <v>503</v>
      </c>
      <c r="C95" s="234"/>
      <c r="D95" s="234"/>
      <c r="E95" s="234"/>
      <c r="F95" s="285" t="s">
        <v>590</v>
      </c>
      <c r="G95" s="286">
        <v>43830</v>
      </c>
      <c r="H95" s="287">
        <v>72922</v>
      </c>
      <c r="I95" s="228"/>
      <c r="J95" s="228"/>
      <c r="K95" s="287">
        <v>72922</v>
      </c>
      <c r="L95" s="232">
        <f t="shared" si="3"/>
        <v>55466</v>
      </c>
      <c r="M95" s="228"/>
      <c r="N95" s="228"/>
      <c r="O95" s="301">
        <f>33625+21841</f>
        <v>55466</v>
      </c>
      <c r="P95" s="232">
        <f t="shared" si="4"/>
        <v>77986</v>
      </c>
      <c r="Q95" s="228"/>
      <c r="R95" s="228"/>
      <c r="S95" s="303">
        <v>77986</v>
      </c>
      <c r="T95" s="232">
        <f t="shared" si="5"/>
        <v>100</v>
      </c>
      <c r="U95" s="228"/>
      <c r="V95" s="228"/>
      <c r="W95" s="290">
        <v>100</v>
      </c>
    </row>
    <row r="96" spans="1:23" s="276" customFormat="1" ht="16.8">
      <c r="A96" s="277" t="s">
        <v>11</v>
      </c>
      <c r="B96" s="278" t="s">
        <v>479</v>
      </c>
      <c r="C96" s="234"/>
      <c r="D96" s="234"/>
      <c r="E96" s="234"/>
      <c r="F96" s="227"/>
      <c r="G96" s="321"/>
      <c r="H96" s="226"/>
      <c r="I96" s="228"/>
      <c r="J96" s="228"/>
      <c r="K96" s="226"/>
      <c r="L96" s="232">
        <f t="shared" si="3"/>
        <v>597</v>
      </c>
      <c r="M96" s="228"/>
      <c r="N96" s="228"/>
      <c r="O96" s="228">
        <f>SUM(O97:O104)</f>
        <v>597</v>
      </c>
      <c r="P96" s="232">
        <f t="shared" si="4"/>
        <v>3850</v>
      </c>
      <c r="Q96" s="228"/>
      <c r="R96" s="228"/>
      <c r="S96" s="274">
        <f>SUM(S97:S104)</f>
        <v>3850</v>
      </c>
      <c r="T96" s="232">
        <f t="shared" si="5"/>
        <v>1150</v>
      </c>
      <c r="U96" s="228"/>
      <c r="V96" s="228"/>
      <c r="W96" s="275">
        <f>SUM(W97:W104)</f>
        <v>1150</v>
      </c>
    </row>
    <row r="97" spans="1:23" s="276" customFormat="1" ht="31.2">
      <c r="A97" s="279">
        <v>2</v>
      </c>
      <c r="B97" s="280" t="s">
        <v>504</v>
      </c>
      <c r="C97" s="234"/>
      <c r="D97" s="234"/>
      <c r="E97" s="234"/>
      <c r="F97" s="227" t="s">
        <v>591</v>
      </c>
      <c r="G97" s="321" t="s">
        <v>592</v>
      </c>
      <c r="H97" s="226"/>
      <c r="I97" s="228"/>
      <c r="J97" s="228"/>
      <c r="K97" s="226"/>
      <c r="L97" s="232">
        <f t="shared" si="3"/>
        <v>550</v>
      </c>
      <c r="M97" s="228"/>
      <c r="N97" s="228"/>
      <c r="O97" s="299">
        <f>450+100</f>
        <v>550</v>
      </c>
      <c r="P97" s="232">
        <f t="shared" si="4"/>
        <v>1250</v>
      </c>
      <c r="Q97" s="228"/>
      <c r="R97" s="228"/>
      <c r="S97" s="305">
        <v>1250</v>
      </c>
      <c r="T97" s="232">
        <f t="shared" si="5"/>
        <v>100</v>
      </c>
      <c r="U97" s="228"/>
      <c r="V97" s="228"/>
      <c r="W97" s="290">
        <v>100</v>
      </c>
    </row>
    <row r="98" spans="1:23" s="235" customFormat="1" ht="31.2">
      <c r="A98" s="279">
        <v>3</v>
      </c>
      <c r="B98" s="280" t="s">
        <v>505</v>
      </c>
      <c r="C98" s="231"/>
      <c r="D98" s="226"/>
      <c r="E98" s="226"/>
      <c r="F98" s="227" t="s">
        <v>593</v>
      </c>
      <c r="G98" s="332">
        <v>43811</v>
      </c>
      <c r="H98" s="226"/>
      <c r="I98" s="232"/>
      <c r="J98" s="232"/>
      <c r="K98" s="226"/>
      <c r="L98" s="232">
        <f t="shared" si="3"/>
        <v>0</v>
      </c>
      <c r="M98" s="232"/>
      <c r="N98" s="232"/>
      <c r="O98" s="299"/>
      <c r="P98" s="232">
        <f t="shared" si="4"/>
        <v>650</v>
      </c>
      <c r="Q98" s="232"/>
      <c r="R98" s="232"/>
      <c r="S98" s="305">
        <v>650</v>
      </c>
      <c r="T98" s="232">
        <f t="shared" si="5"/>
        <v>100</v>
      </c>
      <c r="U98" s="232"/>
      <c r="V98" s="232"/>
      <c r="W98" s="290">
        <v>100</v>
      </c>
    </row>
    <row r="99" spans="1:23" s="235" customFormat="1" ht="31.2">
      <c r="A99" s="279">
        <v>4</v>
      </c>
      <c r="B99" s="280" t="s">
        <v>506</v>
      </c>
      <c r="C99" s="231"/>
      <c r="D99" s="226"/>
      <c r="E99" s="226"/>
      <c r="F99" s="227" t="s">
        <v>594</v>
      </c>
      <c r="G99" s="321" t="s">
        <v>595</v>
      </c>
      <c r="H99" s="226"/>
      <c r="I99" s="232"/>
      <c r="J99" s="232"/>
      <c r="K99" s="226"/>
      <c r="L99" s="232">
        <f t="shared" si="3"/>
        <v>47</v>
      </c>
      <c r="M99" s="232"/>
      <c r="N99" s="232"/>
      <c r="O99" s="299">
        <v>47</v>
      </c>
      <c r="P99" s="232">
        <f t="shared" si="4"/>
        <v>150</v>
      </c>
      <c r="Q99" s="232"/>
      <c r="R99" s="232"/>
      <c r="S99" s="305">
        <v>150</v>
      </c>
      <c r="T99" s="232">
        <f t="shared" si="5"/>
        <v>50</v>
      </c>
      <c r="U99" s="232"/>
      <c r="V99" s="232"/>
      <c r="W99" s="290">
        <v>50</v>
      </c>
    </row>
    <row r="100" spans="1:23" s="235" customFormat="1" ht="45.75" customHeight="1">
      <c r="A100" s="279">
        <v>5</v>
      </c>
      <c r="B100" s="280" t="s">
        <v>596</v>
      </c>
      <c r="C100" s="231"/>
      <c r="D100" s="227"/>
      <c r="E100" s="226"/>
      <c r="F100" s="227" t="s">
        <v>594</v>
      </c>
      <c r="G100" s="321" t="s">
        <v>595</v>
      </c>
      <c r="H100" s="226"/>
      <c r="I100" s="232"/>
      <c r="J100" s="232"/>
      <c r="K100" s="226"/>
      <c r="L100" s="232">
        <f t="shared" si="3"/>
        <v>0</v>
      </c>
      <c r="M100" s="232"/>
      <c r="N100" s="232"/>
      <c r="O100" s="299"/>
      <c r="P100" s="232">
        <f t="shared" si="4"/>
        <v>500</v>
      </c>
      <c r="Q100" s="232"/>
      <c r="R100" s="232"/>
      <c r="S100" s="305">
        <v>500</v>
      </c>
      <c r="T100" s="232">
        <f t="shared" si="5"/>
        <v>100</v>
      </c>
      <c r="U100" s="232"/>
      <c r="V100" s="232"/>
      <c r="W100" s="290">
        <v>100</v>
      </c>
    </row>
    <row r="101" spans="1:23" s="276" customFormat="1" ht="31.2">
      <c r="A101" s="279">
        <v>6</v>
      </c>
      <c r="B101" s="280" t="s">
        <v>597</v>
      </c>
      <c r="C101" s="234"/>
      <c r="D101" s="234"/>
      <c r="E101" s="234"/>
      <c r="F101" s="227" t="s">
        <v>593</v>
      </c>
      <c r="G101" s="321">
        <v>43811</v>
      </c>
      <c r="H101" s="226"/>
      <c r="I101" s="228"/>
      <c r="J101" s="228"/>
      <c r="K101" s="226"/>
      <c r="L101" s="232">
        <f t="shared" si="3"/>
        <v>0</v>
      </c>
      <c r="M101" s="228"/>
      <c r="N101" s="228"/>
      <c r="O101" s="299"/>
      <c r="P101" s="232">
        <f t="shared" si="4"/>
        <v>200</v>
      </c>
      <c r="Q101" s="228"/>
      <c r="R101" s="228"/>
      <c r="S101" s="305">
        <v>200</v>
      </c>
      <c r="T101" s="232">
        <f t="shared" si="5"/>
        <v>100</v>
      </c>
      <c r="U101" s="228"/>
      <c r="V101" s="228"/>
      <c r="W101" s="290">
        <v>100</v>
      </c>
    </row>
    <row r="102" spans="1:23" s="235" customFormat="1" ht="31.2">
      <c r="A102" s="279">
        <v>7</v>
      </c>
      <c r="B102" s="280" t="s">
        <v>507</v>
      </c>
      <c r="C102" s="226"/>
      <c r="D102" s="226"/>
      <c r="E102" s="226"/>
      <c r="F102" s="227" t="s">
        <v>581</v>
      </c>
      <c r="G102" s="321">
        <v>44263</v>
      </c>
      <c r="H102" s="226">
        <v>29366</v>
      </c>
      <c r="I102" s="232"/>
      <c r="J102" s="232"/>
      <c r="K102" s="226">
        <v>29366</v>
      </c>
      <c r="L102" s="232">
        <f t="shared" si="3"/>
        <v>0</v>
      </c>
      <c r="M102" s="232"/>
      <c r="N102" s="232"/>
      <c r="O102" s="299"/>
      <c r="P102" s="232">
        <f t="shared" si="4"/>
        <v>150</v>
      </c>
      <c r="Q102" s="232"/>
      <c r="R102" s="232"/>
      <c r="S102" s="305">
        <v>150</v>
      </c>
      <c r="T102" s="232">
        <f t="shared" si="5"/>
        <v>500</v>
      </c>
      <c r="U102" s="232"/>
      <c r="V102" s="232"/>
      <c r="W102" s="290">
        <v>500</v>
      </c>
    </row>
    <row r="103" spans="1:23" s="235" customFormat="1" ht="31.2">
      <c r="A103" s="279">
        <v>8</v>
      </c>
      <c r="B103" s="280" t="s">
        <v>508</v>
      </c>
      <c r="C103" s="231"/>
      <c r="D103" s="227"/>
      <c r="E103" s="226"/>
      <c r="F103" s="227" t="s">
        <v>581</v>
      </c>
      <c r="G103" s="321">
        <v>44263</v>
      </c>
      <c r="H103" s="226">
        <v>38033</v>
      </c>
      <c r="I103" s="232"/>
      <c r="J103" s="232"/>
      <c r="K103" s="226">
        <v>38033</v>
      </c>
      <c r="L103" s="232">
        <f t="shared" si="3"/>
        <v>0</v>
      </c>
      <c r="M103" s="232"/>
      <c r="N103" s="232"/>
      <c r="O103" s="299"/>
      <c r="P103" s="232">
        <f t="shared" si="4"/>
        <v>850</v>
      </c>
      <c r="Q103" s="232"/>
      <c r="R103" s="232"/>
      <c r="S103" s="305">
        <v>850</v>
      </c>
      <c r="T103" s="232">
        <f t="shared" si="5"/>
        <v>100</v>
      </c>
      <c r="U103" s="232"/>
      <c r="V103" s="232"/>
      <c r="W103" s="290">
        <v>100</v>
      </c>
    </row>
    <row r="104" spans="1:23" s="276" customFormat="1" ht="31.2">
      <c r="A104" s="279" t="s">
        <v>598</v>
      </c>
      <c r="B104" s="280" t="s">
        <v>509</v>
      </c>
      <c r="C104" s="234"/>
      <c r="D104" s="234"/>
      <c r="E104" s="234"/>
      <c r="F104" s="227" t="s">
        <v>581</v>
      </c>
      <c r="G104" s="321">
        <v>44263</v>
      </c>
      <c r="H104" s="226">
        <v>38033</v>
      </c>
      <c r="I104" s="228"/>
      <c r="J104" s="228"/>
      <c r="K104" s="226">
        <v>38033</v>
      </c>
      <c r="L104" s="232">
        <f t="shared" si="3"/>
        <v>0</v>
      </c>
      <c r="M104" s="228"/>
      <c r="N104" s="228"/>
      <c r="O104" s="333"/>
      <c r="P104" s="232">
        <f t="shared" si="4"/>
        <v>100</v>
      </c>
      <c r="Q104" s="228"/>
      <c r="R104" s="228"/>
      <c r="S104" s="328">
        <v>100</v>
      </c>
      <c r="T104" s="232">
        <f t="shared" si="5"/>
        <v>100</v>
      </c>
      <c r="U104" s="228"/>
      <c r="V104" s="228"/>
      <c r="W104" s="290">
        <v>100</v>
      </c>
    </row>
    <row r="105" spans="1:23" s="276" customFormat="1" ht="31.2">
      <c r="A105" s="277" t="s">
        <v>454</v>
      </c>
      <c r="B105" s="278" t="s">
        <v>455</v>
      </c>
      <c r="C105" s="234"/>
      <c r="D105" s="234"/>
      <c r="E105" s="234"/>
      <c r="F105" s="230"/>
      <c r="G105" s="230"/>
      <c r="H105" s="234"/>
      <c r="I105" s="228"/>
      <c r="J105" s="228"/>
      <c r="K105" s="234"/>
      <c r="L105" s="228">
        <f t="shared" si="3"/>
        <v>0</v>
      </c>
      <c r="M105" s="228"/>
      <c r="N105" s="228"/>
      <c r="O105" s="228"/>
      <c r="P105" s="228">
        <f t="shared" si="4"/>
        <v>85129</v>
      </c>
      <c r="Q105" s="228"/>
      <c r="R105" s="228"/>
      <c r="S105" s="274">
        <f>S106+S113</f>
        <v>85129</v>
      </c>
      <c r="T105" s="228">
        <f t="shared" si="5"/>
        <v>4700</v>
      </c>
      <c r="U105" s="228"/>
      <c r="V105" s="228"/>
      <c r="W105" s="275">
        <f>W106+W113</f>
        <v>4700</v>
      </c>
    </row>
    <row r="106" spans="1:23" s="276" customFormat="1" ht="16.8">
      <c r="A106" s="277" t="s">
        <v>6</v>
      </c>
      <c r="B106" s="278" t="s">
        <v>456</v>
      </c>
      <c r="C106" s="330"/>
      <c r="D106" s="234"/>
      <c r="E106" s="234"/>
      <c r="F106" s="230"/>
      <c r="G106" s="230"/>
      <c r="H106" s="230"/>
      <c r="I106" s="228"/>
      <c r="J106" s="228"/>
      <c r="K106" s="230"/>
      <c r="L106" s="228">
        <f t="shared" si="3"/>
        <v>0</v>
      </c>
      <c r="M106" s="228"/>
      <c r="N106" s="228"/>
      <c r="O106" s="228"/>
      <c r="P106" s="228">
        <f t="shared" si="4"/>
        <v>83979</v>
      </c>
      <c r="Q106" s="228"/>
      <c r="R106" s="228"/>
      <c r="S106" s="274">
        <f>S107+S109+S110</f>
        <v>83979</v>
      </c>
      <c r="T106" s="228">
        <f t="shared" si="5"/>
        <v>2300</v>
      </c>
      <c r="U106" s="228"/>
      <c r="V106" s="228"/>
      <c r="W106" s="275">
        <f>W107+W109+W110</f>
        <v>2300</v>
      </c>
    </row>
    <row r="107" spans="1:23" s="276" customFormat="1" ht="16.8">
      <c r="A107" s="277" t="s">
        <v>457</v>
      </c>
      <c r="B107" s="278" t="s">
        <v>458</v>
      </c>
      <c r="C107" s="234"/>
      <c r="D107" s="234"/>
      <c r="E107" s="234"/>
      <c r="F107" s="230"/>
      <c r="G107" s="230"/>
      <c r="H107" s="230"/>
      <c r="I107" s="228"/>
      <c r="J107" s="228"/>
      <c r="K107" s="230"/>
      <c r="L107" s="228">
        <f t="shared" si="3"/>
        <v>14159</v>
      </c>
      <c r="M107" s="228"/>
      <c r="N107" s="228"/>
      <c r="O107" s="228">
        <f>O108</f>
        <v>14159</v>
      </c>
      <c r="P107" s="228">
        <f t="shared" si="4"/>
        <v>16850</v>
      </c>
      <c r="Q107" s="228"/>
      <c r="R107" s="228"/>
      <c r="S107" s="274">
        <f>S108</f>
        <v>16850</v>
      </c>
      <c r="T107" s="228">
        <f t="shared" si="5"/>
        <v>200</v>
      </c>
      <c r="U107" s="228"/>
      <c r="V107" s="228"/>
      <c r="W107" s="275">
        <f>W108</f>
        <v>200</v>
      </c>
    </row>
    <row r="108" spans="1:23" s="235" customFormat="1" ht="31.2">
      <c r="A108" s="279" t="s">
        <v>540</v>
      </c>
      <c r="B108" s="334" t="s">
        <v>599</v>
      </c>
      <c r="C108" s="226"/>
      <c r="D108" s="226"/>
      <c r="E108" s="226"/>
      <c r="F108" s="335" t="s">
        <v>600</v>
      </c>
      <c r="G108" s="336">
        <v>44813</v>
      </c>
      <c r="H108" s="337">
        <v>20508</v>
      </c>
      <c r="I108" s="232"/>
      <c r="J108" s="232"/>
      <c r="K108" s="337">
        <v>20508</v>
      </c>
      <c r="L108" s="232">
        <f t="shared" si="3"/>
        <v>14159</v>
      </c>
      <c r="M108" s="232"/>
      <c r="N108" s="232"/>
      <c r="O108" s="232">
        <f>2400+11759</f>
        <v>14159</v>
      </c>
      <c r="P108" s="232">
        <f t="shared" si="4"/>
        <v>16850</v>
      </c>
      <c r="Q108" s="232"/>
      <c r="R108" s="232"/>
      <c r="S108" s="302">
        <v>16850</v>
      </c>
      <c r="T108" s="232">
        <f t="shared" si="5"/>
        <v>200</v>
      </c>
      <c r="U108" s="232"/>
      <c r="V108" s="232"/>
      <c r="W108" s="213">
        <v>200</v>
      </c>
    </row>
    <row r="109" spans="1:23" s="235" customFormat="1" ht="16.8">
      <c r="A109" s="277" t="s">
        <v>459</v>
      </c>
      <c r="B109" s="278" t="s">
        <v>472</v>
      </c>
      <c r="C109" s="233"/>
      <c r="D109" s="226"/>
      <c r="E109" s="226"/>
      <c r="F109" s="285"/>
      <c r="G109" s="286"/>
      <c r="H109" s="287"/>
      <c r="I109" s="232"/>
      <c r="J109" s="232"/>
      <c r="K109" s="287"/>
      <c r="L109" s="232">
        <f t="shared" si="3"/>
        <v>0</v>
      </c>
      <c r="M109" s="232"/>
      <c r="N109" s="232"/>
      <c r="O109" s="301"/>
      <c r="P109" s="232">
        <f t="shared" si="4"/>
        <v>0</v>
      </c>
      <c r="Q109" s="232"/>
      <c r="R109" s="232"/>
      <c r="S109" s="320"/>
      <c r="T109" s="232">
        <f t="shared" si="5"/>
        <v>0</v>
      </c>
      <c r="U109" s="232"/>
      <c r="V109" s="232"/>
      <c r="W109" s="307"/>
    </row>
    <row r="110" spans="1:23" s="235" customFormat="1" ht="16.8">
      <c r="A110" s="277" t="s">
        <v>462</v>
      </c>
      <c r="B110" s="278" t="s">
        <v>463</v>
      </c>
      <c r="C110" s="233"/>
      <c r="D110" s="226"/>
      <c r="E110" s="226"/>
      <c r="F110" s="285"/>
      <c r="G110" s="286"/>
      <c r="H110" s="287"/>
      <c r="I110" s="232"/>
      <c r="J110" s="232"/>
      <c r="K110" s="287"/>
      <c r="L110" s="232">
        <f t="shared" si="3"/>
        <v>0</v>
      </c>
      <c r="M110" s="232"/>
      <c r="N110" s="232"/>
      <c r="O110" s="301"/>
      <c r="P110" s="232">
        <f t="shared" si="4"/>
        <v>67129</v>
      </c>
      <c r="Q110" s="232"/>
      <c r="R110" s="232"/>
      <c r="S110" s="320">
        <f>SUM(S111:S112)</f>
        <v>67129</v>
      </c>
      <c r="T110" s="232">
        <f t="shared" si="5"/>
        <v>2100</v>
      </c>
      <c r="U110" s="232"/>
      <c r="V110" s="232"/>
      <c r="W110" s="307">
        <f>SUM(W111:W112)</f>
        <v>2100</v>
      </c>
    </row>
    <row r="111" spans="1:23" s="260" customFormat="1" ht="31.2">
      <c r="A111" s="295" t="s">
        <v>540</v>
      </c>
      <c r="B111" s="296" t="s">
        <v>476</v>
      </c>
      <c r="C111" s="338"/>
      <c r="D111" s="299"/>
      <c r="E111" s="299"/>
      <c r="F111" s="316" t="s">
        <v>601</v>
      </c>
      <c r="G111" s="300">
        <v>43038</v>
      </c>
      <c r="H111" s="301">
        <v>50607</v>
      </c>
      <c r="I111" s="232"/>
      <c r="J111" s="232"/>
      <c r="K111" s="301">
        <v>50607</v>
      </c>
      <c r="L111" s="232">
        <f t="shared" si="3"/>
        <v>41389</v>
      </c>
      <c r="M111" s="232"/>
      <c r="N111" s="232"/>
      <c r="O111" s="301">
        <v>41389</v>
      </c>
      <c r="P111" s="232">
        <f t="shared" si="4"/>
        <v>60410</v>
      </c>
      <c r="Q111" s="232"/>
      <c r="R111" s="232"/>
      <c r="S111" s="303">
        <f>60360+50</f>
        <v>60410</v>
      </c>
      <c r="T111" s="232">
        <f t="shared" si="5"/>
        <v>100</v>
      </c>
      <c r="U111" s="232"/>
      <c r="V111" s="232"/>
      <c r="W111" s="333">
        <v>100</v>
      </c>
    </row>
    <row r="112" spans="1:23" s="235" customFormat="1" ht="31.2">
      <c r="A112" s="279" t="s">
        <v>543</v>
      </c>
      <c r="B112" s="296" t="s">
        <v>602</v>
      </c>
      <c r="C112" s="233"/>
      <c r="D112" s="226"/>
      <c r="E112" s="226"/>
      <c r="F112" s="285"/>
      <c r="G112" s="286"/>
      <c r="H112" s="287"/>
      <c r="I112" s="232"/>
      <c r="J112" s="232"/>
      <c r="K112" s="287"/>
      <c r="L112" s="232">
        <f t="shared" si="3"/>
        <v>0</v>
      </c>
      <c r="M112" s="232"/>
      <c r="N112" s="232"/>
      <c r="O112" s="301"/>
      <c r="P112" s="232">
        <f t="shared" si="4"/>
        <v>6719</v>
      </c>
      <c r="Q112" s="232"/>
      <c r="R112" s="232"/>
      <c r="S112" s="303">
        <v>6719</v>
      </c>
      <c r="T112" s="232">
        <f t="shared" si="5"/>
        <v>2000</v>
      </c>
      <c r="U112" s="232"/>
      <c r="V112" s="232"/>
      <c r="W112" s="290">
        <v>2000</v>
      </c>
    </row>
    <row r="113" spans="1:23" s="235" customFormat="1" ht="16.8">
      <c r="A113" s="277" t="s">
        <v>11</v>
      </c>
      <c r="B113" s="278" t="s">
        <v>479</v>
      </c>
      <c r="C113" s="233"/>
      <c r="D113" s="226"/>
      <c r="E113" s="226"/>
      <c r="F113" s="227"/>
      <c r="G113" s="227"/>
      <c r="H113" s="226"/>
      <c r="I113" s="232"/>
      <c r="J113" s="232"/>
      <c r="K113" s="226"/>
      <c r="L113" s="232">
        <f t="shared" si="3"/>
        <v>0</v>
      </c>
      <c r="M113" s="232"/>
      <c r="N113" s="232"/>
      <c r="O113" s="232"/>
      <c r="P113" s="232">
        <f t="shared" si="4"/>
        <v>1150</v>
      </c>
      <c r="Q113" s="232"/>
      <c r="R113" s="232"/>
      <c r="S113" s="274">
        <f>SUM(S114:S122)</f>
        <v>1150</v>
      </c>
      <c r="T113" s="232">
        <f t="shared" si="5"/>
        <v>2400</v>
      </c>
      <c r="U113" s="232"/>
      <c r="V113" s="232"/>
      <c r="W113" s="275">
        <f>SUM(W114:W122)</f>
        <v>2400</v>
      </c>
    </row>
    <row r="114" spans="1:23" s="235" customFormat="1" ht="16.8">
      <c r="A114" s="279" t="s">
        <v>540</v>
      </c>
      <c r="B114" s="280" t="s">
        <v>510</v>
      </c>
      <c r="C114" s="233"/>
      <c r="D114" s="226"/>
      <c r="E114" s="226"/>
      <c r="F114" s="227"/>
      <c r="G114" s="227"/>
      <c r="H114" s="226"/>
      <c r="I114" s="232"/>
      <c r="J114" s="232"/>
      <c r="K114" s="226"/>
      <c r="L114" s="232">
        <f t="shared" si="3"/>
        <v>100</v>
      </c>
      <c r="M114" s="232"/>
      <c r="N114" s="232"/>
      <c r="O114" s="232">
        <v>100</v>
      </c>
      <c r="P114" s="232">
        <f t="shared" si="4"/>
        <v>100</v>
      </c>
      <c r="Q114" s="232"/>
      <c r="R114" s="232"/>
      <c r="S114" s="302">
        <v>100</v>
      </c>
      <c r="T114" s="232">
        <f t="shared" si="5"/>
        <v>400</v>
      </c>
      <c r="U114" s="232"/>
      <c r="V114" s="232"/>
      <c r="W114" s="213">
        <v>400</v>
      </c>
    </row>
    <row r="115" spans="1:23" s="235" customFormat="1" ht="31.2">
      <c r="A115" s="279" t="s">
        <v>543</v>
      </c>
      <c r="B115" s="280" t="s">
        <v>511</v>
      </c>
      <c r="C115" s="233"/>
      <c r="D115" s="226"/>
      <c r="E115" s="226"/>
      <c r="F115" s="227"/>
      <c r="G115" s="227"/>
      <c r="H115" s="226"/>
      <c r="I115" s="232"/>
      <c r="J115" s="232"/>
      <c r="K115" s="226"/>
      <c r="L115" s="232">
        <f t="shared" si="3"/>
        <v>0</v>
      </c>
      <c r="M115" s="232"/>
      <c r="N115" s="232"/>
      <c r="O115" s="232">
        <v>0</v>
      </c>
      <c r="P115" s="232">
        <f t="shared" si="4"/>
        <v>100</v>
      </c>
      <c r="Q115" s="232"/>
      <c r="R115" s="232"/>
      <c r="S115" s="302">
        <v>100</v>
      </c>
      <c r="T115" s="232">
        <f t="shared" si="5"/>
        <v>100</v>
      </c>
      <c r="U115" s="232"/>
      <c r="V115" s="232"/>
      <c r="W115" s="213">
        <v>100</v>
      </c>
    </row>
    <row r="116" spans="1:23" s="235" customFormat="1" ht="31.2">
      <c r="A116" s="279" t="s">
        <v>546</v>
      </c>
      <c r="B116" s="280" t="s">
        <v>512</v>
      </c>
      <c r="C116" s="226"/>
      <c r="D116" s="226"/>
      <c r="E116" s="226"/>
      <c r="F116" s="227"/>
      <c r="G116" s="227"/>
      <c r="H116" s="226"/>
      <c r="I116" s="232"/>
      <c r="J116" s="232"/>
      <c r="K116" s="226"/>
      <c r="L116" s="232">
        <f t="shared" si="3"/>
        <v>0</v>
      </c>
      <c r="M116" s="232"/>
      <c r="N116" s="232"/>
      <c r="O116" s="232">
        <v>0</v>
      </c>
      <c r="P116" s="232">
        <f t="shared" si="4"/>
        <v>100</v>
      </c>
      <c r="Q116" s="232"/>
      <c r="R116" s="232"/>
      <c r="S116" s="302">
        <v>100</v>
      </c>
      <c r="T116" s="232">
        <f t="shared" si="5"/>
        <v>100</v>
      </c>
      <c r="U116" s="232"/>
      <c r="V116" s="232"/>
      <c r="W116" s="213">
        <v>100</v>
      </c>
    </row>
    <row r="117" spans="1:23" s="276" customFormat="1" ht="16.8">
      <c r="A117" s="279" t="s">
        <v>548</v>
      </c>
      <c r="B117" s="280" t="s">
        <v>513</v>
      </c>
      <c r="C117" s="234"/>
      <c r="D117" s="234"/>
      <c r="E117" s="234"/>
      <c r="F117" s="227"/>
      <c r="G117" s="227"/>
      <c r="H117" s="226"/>
      <c r="I117" s="228"/>
      <c r="J117" s="228"/>
      <c r="K117" s="226"/>
      <c r="L117" s="232">
        <f t="shared" si="3"/>
        <v>100</v>
      </c>
      <c r="M117" s="228"/>
      <c r="N117" s="228"/>
      <c r="O117" s="232">
        <v>100</v>
      </c>
      <c r="P117" s="232">
        <f t="shared" si="4"/>
        <v>100</v>
      </c>
      <c r="Q117" s="228"/>
      <c r="R117" s="228"/>
      <c r="S117" s="302">
        <v>100</v>
      </c>
      <c r="T117" s="232">
        <f t="shared" si="5"/>
        <v>100</v>
      </c>
      <c r="U117" s="228"/>
      <c r="V117" s="228"/>
      <c r="W117" s="213">
        <v>100</v>
      </c>
    </row>
    <row r="118" spans="1:23" s="276" customFormat="1" ht="31.2">
      <c r="A118" s="279" t="s">
        <v>566</v>
      </c>
      <c r="B118" s="280" t="s">
        <v>514</v>
      </c>
      <c r="C118" s="234"/>
      <c r="D118" s="234"/>
      <c r="E118" s="234"/>
      <c r="F118" s="285"/>
      <c r="G118" s="286"/>
      <c r="H118" s="287"/>
      <c r="I118" s="228"/>
      <c r="J118" s="228"/>
      <c r="K118" s="287"/>
      <c r="L118" s="232">
        <f t="shared" si="3"/>
        <v>0</v>
      </c>
      <c r="M118" s="228"/>
      <c r="N118" s="228"/>
      <c r="O118" s="301">
        <v>0</v>
      </c>
      <c r="P118" s="232">
        <f t="shared" si="4"/>
        <v>100</v>
      </c>
      <c r="Q118" s="228"/>
      <c r="R118" s="228"/>
      <c r="S118" s="303">
        <v>100</v>
      </c>
      <c r="T118" s="232">
        <f t="shared" si="5"/>
        <v>200</v>
      </c>
      <c r="U118" s="228"/>
      <c r="V118" s="228"/>
      <c r="W118" s="290">
        <v>200</v>
      </c>
    </row>
    <row r="119" spans="1:23" s="276" customFormat="1" ht="31.2">
      <c r="A119" s="279" t="s">
        <v>567</v>
      </c>
      <c r="B119" s="280" t="s">
        <v>515</v>
      </c>
      <c r="C119" s="234"/>
      <c r="D119" s="234"/>
      <c r="E119" s="234"/>
      <c r="F119" s="227"/>
      <c r="G119" s="227"/>
      <c r="H119" s="226"/>
      <c r="I119" s="228"/>
      <c r="J119" s="228"/>
      <c r="K119" s="226"/>
      <c r="L119" s="232">
        <f t="shared" si="3"/>
        <v>100</v>
      </c>
      <c r="M119" s="228"/>
      <c r="N119" s="228"/>
      <c r="O119" s="232">
        <v>100</v>
      </c>
      <c r="P119" s="232">
        <f t="shared" si="4"/>
        <v>100</v>
      </c>
      <c r="Q119" s="228"/>
      <c r="R119" s="228"/>
      <c r="S119" s="302">
        <v>100</v>
      </c>
      <c r="T119" s="232">
        <f t="shared" si="5"/>
        <v>600</v>
      </c>
      <c r="U119" s="228"/>
      <c r="V119" s="228"/>
      <c r="W119" s="213">
        <v>600</v>
      </c>
    </row>
    <row r="120" spans="1:23" s="235" customFormat="1" ht="31.2">
      <c r="A120" s="279" t="s">
        <v>568</v>
      </c>
      <c r="B120" s="280" t="s">
        <v>517</v>
      </c>
      <c r="C120" s="233"/>
      <c r="D120" s="226"/>
      <c r="E120" s="226"/>
      <c r="F120" s="227"/>
      <c r="G120" s="227"/>
      <c r="H120" s="226"/>
      <c r="I120" s="232"/>
      <c r="J120" s="232"/>
      <c r="K120" s="226"/>
      <c r="L120" s="232">
        <f t="shared" si="3"/>
        <v>0</v>
      </c>
      <c r="M120" s="232"/>
      <c r="N120" s="232"/>
      <c r="O120" s="232">
        <v>0</v>
      </c>
      <c r="P120" s="232">
        <f t="shared" si="4"/>
        <v>100</v>
      </c>
      <c r="Q120" s="232"/>
      <c r="R120" s="232"/>
      <c r="S120" s="302">
        <v>100</v>
      </c>
      <c r="T120" s="232">
        <f t="shared" si="5"/>
        <v>200</v>
      </c>
      <c r="U120" s="232"/>
      <c r="V120" s="232"/>
      <c r="W120" s="213">
        <v>200</v>
      </c>
    </row>
    <row r="121" spans="1:23" s="235" customFormat="1" ht="16.8">
      <c r="A121" s="279" t="s">
        <v>603</v>
      </c>
      <c r="B121" s="233" t="s">
        <v>481</v>
      </c>
      <c r="C121" s="233"/>
      <c r="D121" s="226"/>
      <c r="E121" s="226"/>
      <c r="F121" s="285"/>
      <c r="G121" s="286"/>
      <c r="H121" s="287">
        <v>65498</v>
      </c>
      <c r="I121" s="232"/>
      <c r="J121" s="232"/>
      <c r="K121" s="287">
        <v>65498</v>
      </c>
      <c r="L121" s="232">
        <f t="shared" si="3"/>
        <v>192</v>
      </c>
      <c r="M121" s="232"/>
      <c r="N121" s="232"/>
      <c r="O121" s="299">
        <v>192</v>
      </c>
      <c r="P121" s="232">
        <f t="shared" si="4"/>
        <v>350</v>
      </c>
      <c r="Q121" s="232"/>
      <c r="R121" s="232"/>
      <c r="S121" s="305">
        <v>350</v>
      </c>
      <c r="T121" s="232">
        <f t="shared" si="5"/>
        <v>100</v>
      </c>
      <c r="U121" s="232"/>
      <c r="V121" s="232"/>
      <c r="W121" s="290">
        <v>100</v>
      </c>
    </row>
    <row r="122" spans="1:23" s="235" customFormat="1" ht="16.8">
      <c r="A122" s="279" t="s">
        <v>598</v>
      </c>
      <c r="B122" s="280" t="s">
        <v>518</v>
      </c>
      <c r="C122" s="233"/>
      <c r="D122" s="226"/>
      <c r="E122" s="226"/>
      <c r="F122" s="227"/>
      <c r="G122" s="286"/>
      <c r="H122" s="287"/>
      <c r="I122" s="232"/>
      <c r="J122" s="232"/>
      <c r="K122" s="287"/>
      <c r="L122" s="232">
        <f t="shared" si="3"/>
        <v>0</v>
      </c>
      <c r="M122" s="232"/>
      <c r="N122" s="232"/>
      <c r="O122" s="232"/>
      <c r="P122" s="232">
        <f t="shared" si="4"/>
        <v>100</v>
      </c>
      <c r="Q122" s="232"/>
      <c r="R122" s="232"/>
      <c r="S122" s="302">
        <v>100</v>
      </c>
      <c r="T122" s="232">
        <f t="shared" si="5"/>
        <v>600</v>
      </c>
      <c r="U122" s="232"/>
      <c r="V122" s="232"/>
      <c r="W122" s="213">
        <v>600</v>
      </c>
    </row>
    <row r="123" spans="1:23" s="235" customFormat="1" ht="31.2">
      <c r="A123" s="277" t="s">
        <v>454</v>
      </c>
      <c r="B123" s="278" t="s">
        <v>604</v>
      </c>
      <c r="C123" s="233"/>
      <c r="D123" s="226"/>
      <c r="E123" s="226"/>
      <c r="F123" s="227"/>
      <c r="G123" s="321"/>
      <c r="H123" s="226"/>
      <c r="I123" s="232"/>
      <c r="J123" s="232"/>
      <c r="K123" s="226"/>
      <c r="L123" s="232">
        <f t="shared" si="3"/>
        <v>0</v>
      </c>
      <c r="M123" s="232"/>
      <c r="N123" s="232"/>
      <c r="O123" s="232"/>
      <c r="P123" s="232">
        <f t="shared" si="4"/>
        <v>100</v>
      </c>
      <c r="Q123" s="232"/>
      <c r="R123" s="232"/>
      <c r="S123" s="274">
        <f>S124</f>
        <v>100</v>
      </c>
      <c r="T123" s="232">
        <f t="shared" si="5"/>
        <v>50</v>
      </c>
      <c r="U123" s="232"/>
      <c r="V123" s="232"/>
      <c r="W123" s="275">
        <f>W124</f>
        <v>50</v>
      </c>
    </row>
    <row r="124" spans="1:23" s="235" customFormat="1" ht="16.8">
      <c r="A124" s="277"/>
      <c r="B124" s="278" t="s">
        <v>479</v>
      </c>
      <c r="C124" s="233"/>
      <c r="D124" s="226"/>
      <c r="E124" s="226"/>
      <c r="F124" s="227"/>
      <c r="G124" s="321"/>
      <c r="H124" s="226"/>
      <c r="I124" s="232"/>
      <c r="J124" s="232"/>
      <c r="K124" s="226"/>
      <c r="L124" s="232">
        <f t="shared" si="3"/>
        <v>0</v>
      </c>
      <c r="M124" s="232"/>
      <c r="N124" s="232"/>
      <c r="O124" s="232"/>
      <c r="P124" s="232">
        <f t="shared" si="4"/>
        <v>100</v>
      </c>
      <c r="Q124" s="232"/>
      <c r="R124" s="232"/>
      <c r="S124" s="274">
        <f>S125</f>
        <v>100</v>
      </c>
      <c r="T124" s="232">
        <f t="shared" si="5"/>
        <v>50</v>
      </c>
      <c r="U124" s="232"/>
      <c r="V124" s="232"/>
      <c r="W124" s="275">
        <f>W125</f>
        <v>50</v>
      </c>
    </row>
    <row r="125" spans="1:23" s="235" customFormat="1" ht="31.2">
      <c r="A125" s="279">
        <v>1</v>
      </c>
      <c r="B125" s="280" t="s">
        <v>605</v>
      </c>
      <c r="C125" s="233"/>
      <c r="D125" s="226"/>
      <c r="E125" s="226"/>
      <c r="F125" s="285" t="s">
        <v>606</v>
      </c>
      <c r="G125" s="286">
        <v>43783</v>
      </c>
      <c r="H125" s="287">
        <v>48162</v>
      </c>
      <c r="I125" s="232"/>
      <c r="J125" s="232"/>
      <c r="K125" s="287">
        <v>48162</v>
      </c>
      <c r="L125" s="232">
        <f t="shared" si="3"/>
        <v>0</v>
      </c>
      <c r="M125" s="232"/>
      <c r="N125" s="232"/>
      <c r="O125" s="232">
        <v>0</v>
      </c>
      <c r="P125" s="232">
        <f t="shared" si="4"/>
        <v>100</v>
      </c>
      <c r="Q125" s="232"/>
      <c r="R125" s="232"/>
      <c r="S125" s="302">
        <v>100</v>
      </c>
      <c r="T125" s="232">
        <f t="shared" si="5"/>
        <v>50</v>
      </c>
      <c r="U125" s="232"/>
      <c r="V125" s="232"/>
      <c r="W125" s="213">
        <v>50</v>
      </c>
    </row>
    <row r="126" spans="1:23" s="235" customFormat="1" ht="31.2">
      <c r="A126" s="277" t="s">
        <v>454</v>
      </c>
      <c r="B126" s="278" t="s">
        <v>607</v>
      </c>
      <c r="C126" s="233"/>
      <c r="D126" s="226"/>
      <c r="E126" s="226"/>
      <c r="F126" s="272"/>
      <c r="G126" s="272"/>
      <c r="H126" s="273"/>
      <c r="I126" s="232"/>
      <c r="J126" s="232"/>
      <c r="K126" s="273"/>
      <c r="L126" s="232">
        <f t="shared" si="3"/>
        <v>0</v>
      </c>
      <c r="M126" s="232"/>
      <c r="N126" s="232"/>
      <c r="O126" s="228">
        <f>O127+O141</f>
        <v>0</v>
      </c>
      <c r="P126" s="232">
        <f t="shared" si="4"/>
        <v>0</v>
      </c>
      <c r="Q126" s="232"/>
      <c r="R126" s="232"/>
      <c r="S126" s="274">
        <f>S127+S141</f>
        <v>0</v>
      </c>
      <c r="T126" s="232">
        <f t="shared" si="5"/>
        <v>5758</v>
      </c>
      <c r="U126" s="232"/>
      <c r="V126" s="232"/>
      <c r="W126" s="275">
        <f>W127+W141</f>
        <v>5758</v>
      </c>
    </row>
    <row r="127" spans="1:23" s="235" customFormat="1" ht="16.8">
      <c r="A127" s="277"/>
      <c r="B127" s="278" t="s">
        <v>495</v>
      </c>
      <c r="C127" s="233"/>
      <c r="D127" s="226"/>
      <c r="E127" s="226"/>
      <c r="F127" s="285"/>
      <c r="G127" s="286"/>
      <c r="H127" s="287"/>
      <c r="I127" s="232"/>
      <c r="J127" s="232"/>
      <c r="K127" s="287"/>
      <c r="L127" s="232">
        <f t="shared" si="3"/>
        <v>0</v>
      </c>
      <c r="M127" s="232"/>
      <c r="N127" s="232"/>
      <c r="O127" s="301"/>
      <c r="P127" s="232">
        <f t="shared" si="4"/>
        <v>0</v>
      </c>
      <c r="Q127" s="232"/>
      <c r="R127" s="232"/>
      <c r="S127" s="320">
        <f>S128+S133</f>
        <v>0</v>
      </c>
      <c r="T127" s="232">
        <f t="shared" si="5"/>
        <v>4858</v>
      </c>
      <c r="U127" s="232"/>
      <c r="V127" s="232"/>
      <c r="W127" s="307">
        <f>W128+W133</f>
        <v>4858</v>
      </c>
    </row>
    <row r="128" spans="1:23" s="235" customFormat="1" ht="16.8">
      <c r="A128" s="277" t="s">
        <v>6</v>
      </c>
      <c r="B128" s="278" t="s">
        <v>456</v>
      </c>
      <c r="C128" s="233"/>
      <c r="D128" s="226"/>
      <c r="E128" s="226"/>
      <c r="F128" s="285"/>
      <c r="G128" s="286"/>
      <c r="H128" s="287"/>
      <c r="I128" s="232"/>
      <c r="J128" s="232"/>
      <c r="K128" s="287"/>
      <c r="L128" s="232">
        <f t="shared" si="3"/>
        <v>0</v>
      </c>
      <c r="M128" s="232"/>
      <c r="N128" s="232"/>
      <c r="O128" s="301"/>
      <c r="P128" s="232">
        <f t="shared" si="4"/>
        <v>0</v>
      </c>
      <c r="Q128" s="232"/>
      <c r="R128" s="232"/>
      <c r="S128" s="320">
        <f>SUM(S129:S132)</f>
        <v>0</v>
      </c>
      <c r="T128" s="232">
        <f t="shared" si="5"/>
        <v>4408</v>
      </c>
      <c r="U128" s="232"/>
      <c r="V128" s="232"/>
      <c r="W128" s="307">
        <f>SUM(W129:W132)</f>
        <v>4408</v>
      </c>
    </row>
    <row r="129" spans="1:23" s="235" customFormat="1" ht="31.2">
      <c r="A129" s="279" t="s">
        <v>540</v>
      </c>
      <c r="B129" s="280" t="s">
        <v>608</v>
      </c>
      <c r="C129" s="233"/>
      <c r="D129" s="226"/>
      <c r="E129" s="226"/>
      <c r="F129" s="294"/>
      <c r="G129" s="294"/>
      <c r="H129" s="294"/>
      <c r="I129" s="232"/>
      <c r="J129" s="232"/>
      <c r="K129" s="294"/>
      <c r="L129" s="232">
        <f t="shared" si="3"/>
        <v>0</v>
      </c>
      <c r="M129" s="232"/>
      <c r="N129" s="232"/>
      <c r="O129" s="292"/>
      <c r="P129" s="232">
        <f t="shared" si="4"/>
        <v>0</v>
      </c>
      <c r="Q129" s="232"/>
      <c r="R129" s="232"/>
      <c r="S129" s="328">
        <v>0</v>
      </c>
      <c r="T129" s="232">
        <f t="shared" si="5"/>
        <v>658</v>
      </c>
      <c r="U129" s="232"/>
      <c r="V129" s="232"/>
      <c r="W129" s="290">
        <v>658</v>
      </c>
    </row>
    <row r="130" spans="1:23" s="235" customFormat="1" ht="31.2">
      <c r="A130" s="279" t="s">
        <v>546</v>
      </c>
      <c r="B130" s="280" t="s">
        <v>609</v>
      </c>
      <c r="C130" s="233"/>
      <c r="D130" s="226"/>
      <c r="E130" s="226"/>
      <c r="F130" s="294"/>
      <c r="G130" s="294"/>
      <c r="H130" s="294"/>
      <c r="I130" s="232"/>
      <c r="J130" s="232"/>
      <c r="K130" s="294"/>
      <c r="L130" s="232">
        <f t="shared" si="3"/>
        <v>0</v>
      </c>
      <c r="M130" s="232"/>
      <c r="N130" s="232"/>
      <c r="O130" s="292"/>
      <c r="P130" s="232">
        <f t="shared" si="4"/>
        <v>0</v>
      </c>
      <c r="Q130" s="232"/>
      <c r="R130" s="232"/>
      <c r="S130" s="328"/>
      <c r="T130" s="232">
        <f t="shared" si="5"/>
        <v>850</v>
      </c>
      <c r="U130" s="232"/>
      <c r="V130" s="232"/>
      <c r="W130" s="290">
        <v>850</v>
      </c>
    </row>
    <row r="131" spans="1:23" s="235" customFormat="1" ht="16.8">
      <c r="A131" s="279" t="s">
        <v>548</v>
      </c>
      <c r="B131" s="280" t="s">
        <v>610</v>
      </c>
      <c r="C131" s="233"/>
      <c r="D131" s="226"/>
      <c r="E131" s="226"/>
      <c r="F131" s="294"/>
      <c r="G131" s="294"/>
      <c r="H131" s="294"/>
      <c r="I131" s="232"/>
      <c r="J131" s="232"/>
      <c r="K131" s="294"/>
      <c r="L131" s="232">
        <f t="shared" si="3"/>
        <v>0</v>
      </c>
      <c r="M131" s="232"/>
      <c r="N131" s="232"/>
      <c r="O131" s="292"/>
      <c r="P131" s="232">
        <f t="shared" si="4"/>
        <v>0</v>
      </c>
      <c r="Q131" s="232"/>
      <c r="R131" s="232"/>
      <c r="S131" s="328"/>
      <c r="T131" s="232">
        <f t="shared" si="5"/>
        <v>950</v>
      </c>
      <c r="U131" s="232"/>
      <c r="V131" s="232"/>
      <c r="W131" s="290">
        <v>950</v>
      </c>
    </row>
    <row r="132" spans="1:23" s="235" customFormat="1" ht="16.8">
      <c r="A132" s="279" t="s">
        <v>543</v>
      </c>
      <c r="B132" s="280" t="s">
        <v>611</v>
      </c>
      <c r="C132" s="233"/>
      <c r="D132" s="226"/>
      <c r="E132" s="226"/>
      <c r="F132" s="294"/>
      <c r="G132" s="294"/>
      <c r="H132" s="294"/>
      <c r="I132" s="232"/>
      <c r="J132" s="232"/>
      <c r="K132" s="294"/>
      <c r="L132" s="232">
        <f t="shared" si="3"/>
        <v>0</v>
      </c>
      <c r="M132" s="232"/>
      <c r="N132" s="232"/>
      <c r="O132" s="292"/>
      <c r="P132" s="232">
        <f t="shared" si="4"/>
        <v>0</v>
      </c>
      <c r="Q132" s="232"/>
      <c r="R132" s="232"/>
      <c r="S132" s="328"/>
      <c r="T132" s="232">
        <f t="shared" si="5"/>
        <v>1950</v>
      </c>
      <c r="U132" s="232"/>
      <c r="V132" s="232"/>
      <c r="W132" s="290">
        <v>1950</v>
      </c>
    </row>
    <row r="133" spans="1:23" s="235" customFormat="1" ht="16.8">
      <c r="A133" s="277" t="s">
        <v>11</v>
      </c>
      <c r="B133" s="278" t="s">
        <v>479</v>
      </c>
      <c r="C133" s="226"/>
      <c r="D133" s="226"/>
      <c r="E133" s="226"/>
      <c r="F133" s="285"/>
      <c r="G133" s="286"/>
      <c r="H133" s="287"/>
      <c r="I133" s="227"/>
      <c r="J133" s="227"/>
      <c r="K133" s="287"/>
      <c r="L133" s="232">
        <f t="shared" si="3"/>
        <v>0</v>
      </c>
      <c r="M133" s="226"/>
      <c r="N133" s="226"/>
      <c r="O133" s="301"/>
      <c r="P133" s="232">
        <f t="shared" si="4"/>
        <v>0</v>
      </c>
      <c r="Q133" s="226"/>
      <c r="R133" s="226"/>
      <c r="S133" s="320">
        <f>SUM(S134:S135)</f>
        <v>0</v>
      </c>
      <c r="T133" s="232">
        <f t="shared" si="5"/>
        <v>450</v>
      </c>
      <c r="U133" s="339"/>
      <c r="V133" s="339"/>
      <c r="W133" s="307">
        <f>SUM(W134:W140)</f>
        <v>450</v>
      </c>
    </row>
    <row r="134" spans="1:23" s="235" customFormat="1" ht="31.2">
      <c r="A134" s="279" t="s">
        <v>540</v>
      </c>
      <c r="B134" s="280" t="s">
        <v>612</v>
      </c>
      <c r="C134" s="226"/>
      <c r="D134" s="226"/>
      <c r="E134" s="226"/>
      <c r="F134" s="294"/>
      <c r="G134" s="294"/>
      <c r="H134" s="294"/>
      <c r="I134" s="227"/>
      <c r="J134" s="227"/>
      <c r="K134" s="294"/>
      <c r="L134" s="232">
        <f t="shared" si="3"/>
        <v>0</v>
      </c>
      <c r="M134" s="226"/>
      <c r="N134" s="226"/>
      <c r="O134" s="292"/>
      <c r="P134" s="232">
        <f t="shared" si="4"/>
        <v>0</v>
      </c>
      <c r="Q134" s="226"/>
      <c r="R134" s="226"/>
      <c r="S134" s="328"/>
      <c r="T134" s="232">
        <f t="shared" si="5"/>
        <v>100</v>
      </c>
      <c r="U134" s="339"/>
      <c r="V134" s="339"/>
      <c r="W134" s="290">
        <v>100</v>
      </c>
    </row>
    <row r="135" spans="1:23" s="235" customFormat="1" ht="31.2">
      <c r="A135" s="279" t="s">
        <v>543</v>
      </c>
      <c r="B135" s="280" t="s">
        <v>613</v>
      </c>
      <c r="C135" s="226"/>
      <c r="D135" s="226"/>
      <c r="E135" s="226"/>
      <c r="F135" s="294"/>
      <c r="G135" s="294"/>
      <c r="H135" s="294"/>
      <c r="I135" s="227"/>
      <c r="J135" s="227"/>
      <c r="K135" s="294"/>
      <c r="L135" s="232">
        <f t="shared" si="3"/>
        <v>0</v>
      </c>
      <c r="M135" s="226"/>
      <c r="N135" s="226"/>
      <c r="O135" s="292"/>
      <c r="P135" s="232">
        <f t="shared" si="4"/>
        <v>0</v>
      </c>
      <c r="Q135" s="226"/>
      <c r="R135" s="226"/>
      <c r="S135" s="328"/>
      <c r="T135" s="232">
        <f t="shared" si="5"/>
        <v>100</v>
      </c>
      <c r="U135" s="339"/>
      <c r="V135" s="339"/>
      <c r="W135" s="290">
        <v>100</v>
      </c>
    </row>
    <row r="136" spans="1:23" s="235" customFormat="1" ht="16.8">
      <c r="A136" s="279" t="s">
        <v>546</v>
      </c>
      <c r="B136" s="340" t="s">
        <v>614</v>
      </c>
      <c r="C136" s="226"/>
      <c r="D136" s="226"/>
      <c r="E136" s="226"/>
      <c r="F136" s="340"/>
      <c r="G136" s="340"/>
      <c r="H136" s="340"/>
      <c r="I136" s="227"/>
      <c r="J136" s="227"/>
      <c r="K136" s="340"/>
      <c r="L136" s="232">
        <f t="shared" si="3"/>
        <v>0</v>
      </c>
      <c r="M136" s="226"/>
      <c r="N136" s="226"/>
      <c r="O136" s="341"/>
      <c r="P136" s="232">
        <f t="shared" si="4"/>
        <v>0</v>
      </c>
      <c r="Q136" s="226"/>
      <c r="R136" s="226"/>
      <c r="S136" s="342"/>
      <c r="T136" s="232">
        <f t="shared" si="5"/>
        <v>50</v>
      </c>
      <c r="U136" s="339"/>
      <c r="V136" s="339"/>
      <c r="W136" s="329">
        <v>50</v>
      </c>
    </row>
    <row r="137" spans="1:23" s="235" customFormat="1" ht="16.8">
      <c r="A137" s="279" t="s">
        <v>548</v>
      </c>
      <c r="B137" s="340" t="s">
        <v>615</v>
      </c>
      <c r="C137" s="226"/>
      <c r="D137" s="226"/>
      <c r="E137" s="226"/>
      <c r="F137" s="340"/>
      <c r="G137" s="340"/>
      <c r="H137" s="340"/>
      <c r="I137" s="227"/>
      <c r="J137" s="227"/>
      <c r="K137" s="340"/>
      <c r="L137" s="232">
        <f t="shared" si="3"/>
        <v>0</v>
      </c>
      <c r="M137" s="226"/>
      <c r="N137" s="226"/>
      <c r="O137" s="341"/>
      <c r="P137" s="232">
        <f t="shared" si="4"/>
        <v>0</v>
      </c>
      <c r="Q137" s="226"/>
      <c r="R137" s="226"/>
      <c r="S137" s="342"/>
      <c r="T137" s="232">
        <f t="shared" si="5"/>
        <v>50</v>
      </c>
      <c r="U137" s="339"/>
      <c r="V137" s="339"/>
      <c r="W137" s="329">
        <v>50</v>
      </c>
    </row>
    <row r="138" spans="1:23" s="235" customFormat="1" ht="31.2">
      <c r="A138" s="279" t="s">
        <v>566</v>
      </c>
      <c r="B138" s="340" t="s">
        <v>616</v>
      </c>
      <c r="C138" s="226"/>
      <c r="D138" s="226"/>
      <c r="E138" s="226"/>
      <c r="F138" s="340"/>
      <c r="G138" s="340"/>
      <c r="H138" s="340"/>
      <c r="I138" s="227"/>
      <c r="J138" s="227"/>
      <c r="K138" s="340"/>
      <c r="L138" s="232">
        <f t="shared" si="3"/>
        <v>0</v>
      </c>
      <c r="M138" s="226"/>
      <c r="N138" s="226"/>
      <c r="O138" s="341"/>
      <c r="P138" s="232">
        <f t="shared" si="4"/>
        <v>0</v>
      </c>
      <c r="Q138" s="226"/>
      <c r="R138" s="226"/>
      <c r="S138" s="342"/>
      <c r="T138" s="232">
        <f t="shared" si="5"/>
        <v>50</v>
      </c>
      <c r="U138" s="339"/>
      <c r="V138" s="339"/>
      <c r="W138" s="329">
        <v>50</v>
      </c>
    </row>
    <row r="139" spans="1:23" s="235" customFormat="1" ht="16.8">
      <c r="A139" s="279" t="s">
        <v>567</v>
      </c>
      <c r="B139" s="340" t="s">
        <v>617</v>
      </c>
      <c r="C139" s="226"/>
      <c r="D139" s="226"/>
      <c r="E139" s="226"/>
      <c r="F139" s="340"/>
      <c r="G139" s="340"/>
      <c r="H139" s="340"/>
      <c r="I139" s="227"/>
      <c r="J139" s="227"/>
      <c r="K139" s="340"/>
      <c r="L139" s="232">
        <f t="shared" ref="L139:L144" si="6">+SUM(M139:O139)</f>
        <v>0</v>
      </c>
      <c r="M139" s="226"/>
      <c r="N139" s="226"/>
      <c r="O139" s="341"/>
      <c r="P139" s="232">
        <f t="shared" ref="P139:P144" si="7">+SUM(Q139:S139)</f>
        <v>0</v>
      </c>
      <c r="Q139" s="226"/>
      <c r="R139" s="226"/>
      <c r="S139" s="342"/>
      <c r="T139" s="232">
        <f t="shared" ref="T139:T144" si="8">SUM(U139:W139)</f>
        <v>50</v>
      </c>
      <c r="U139" s="339"/>
      <c r="V139" s="339"/>
      <c r="W139" s="329">
        <v>50</v>
      </c>
    </row>
    <row r="140" spans="1:23" s="235" customFormat="1" ht="16.8">
      <c r="A140" s="279" t="s">
        <v>568</v>
      </c>
      <c r="B140" s="340" t="s">
        <v>618</v>
      </c>
      <c r="C140" s="226"/>
      <c r="D140" s="226"/>
      <c r="E140" s="226"/>
      <c r="F140" s="340"/>
      <c r="G140" s="340"/>
      <c r="H140" s="340"/>
      <c r="I140" s="227"/>
      <c r="J140" s="227"/>
      <c r="K140" s="340"/>
      <c r="L140" s="232">
        <f t="shared" si="6"/>
        <v>0</v>
      </c>
      <c r="M140" s="226"/>
      <c r="N140" s="226"/>
      <c r="O140" s="341"/>
      <c r="P140" s="232">
        <f t="shared" si="7"/>
        <v>0</v>
      </c>
      <c r="Q140" s="226"/>
      <c r="R140" s="226"/>
      <c r="S140" s="342"/>
      <c r="T140" s="232">
        <f t="shared" si="8"/>
        <v>50</v>
      </c>
      <c r="U140" s="339"/>
      <c r="V140" s="339"/>
      <c r="W140" s="329">
        <v>50</v>
      </c>
    </row>
    <row r="141" spans="1:23" s="235" customFormat="1" ht="16.8">
      <c r="A141" s="277"/>
      <c r="B141" s="278" t="s">
        <v>466</v>
      </c>
      <c r="C141" s="226"/>
      <c r="D141" s="226"/>
      <c r="E141" s="226"/>
      <c r="F141" s="285"/>
      <c r="G141" s="286"/>
      <c r="H141" s="287"/>
      <c r="I141" s="227"/>
      <c r="J141" s="227"/>
      <c r="K141" s="287"/>
      <c r="L141" s="232">
        <f t="shared" si="6"/>
        <v>0</v>
      </c>
      <c r="M141" s="226"/>
      <c r="N141" s="226"/>
      <c r="O141" s="301"/>
      <c r="P141" s="232">
        <f t="shared" si="7"/>
        <v>0</v>
      </c>
      <c r="Q141" s="226"/>
      <c r="R141" s="226"/>
      <c r="S141" s="320">
        <f>S142+S143</f>
        <v>0</v>
      </c>
      <c r="T141" s="232">
        <f t="shared" si="8"/>
        <v>900</v>
      </c>
      <c r="U141" s="339"/>
      <c r="V141" s="339"/>
      <c r="W141" s="307">
        <f>W142</f>
        <v>900</v>
      </c>
    </row>
    <row r="142" spans="1:23" s="235" customFormat="1" ht="16.8">
      <c r="A142" s="277" t="s">
        <v>6</v>
      </c>
      <c r="B142" s="278" t="s">
        <v>456</v>
      </c>
      <c r="C142" s="226"/>
      <c r="D142" s="226"/>
      <c r="E142" s="226"/>
      <c r="F142" s="285"/>
      <c r="G142" s="286"/>
      <c r="H142" s="287"/>
      <c r="I142" s="227"/>
      <c r="J142" s="227"/>
      <c r="K142" s="287"/>
      <c r="L142" s="232">
        <f t="shared" si="6"/>
        <v>0</v>
      </c>
      <c r="M142" s="226"/>
      <c r="N142" s="226"/>
      <c r="O142" s="301"/>
      <c r="P142" s="232">
        <f t="shared" si="7"/>
        <v>0</v>
      </c>
      <c r="Q142" s="226"/>
      <c r="R142" s="226"/>
      <c r="S142" s="320"/>
      <c r="T142" s="232">
        <f t="shared" si="8"/>
        <v>900</v>
      </c>
      <c r="U142" s="339"/>
      <c r="V142" s="339"/>
      <c r="W142" s="307">
        <f>W143</f>
        <v>900</v>
      </c>
    </row>
    <row r="143" spans="1:23" s="235" customFormat="1" ht="16.8">
      <c r="A143" s="277" t="s">
        <v>457</v>
      </c>
      <c r="B143" s="278" t="s">
        <v>472</v>
      </c>
      <c r="C143" s="226"/>
      <c r="D143" s="226"/>
      <c r="E143" s="226"/>
      <c r="F143" s="285"/>
      <c r="G143" s="286"/>
      <c r="H143" s="287"/>
      <c r="I143" s="227"/>
      <c r="J143" s="227"/>
      <c r="K143" s="287"/>
      <c r="L143" s="232">
        <f t="shared" si="6"/>
        <v>0</v>
      </c>
      <c r="M143" s="226"/>
      <c r="N143" s="226"/>
      <c r="O143" s="301"/>
      <c r="P143" s="232">
        <f t="shared" si="7"/>
        <v>0</v>
      </c>
      <c r="Q143" s="226"/>
      <c r="R143" s="226"/>
      <c r="S143" s="320">
        <f>S144</f>
        <v>0</v>
      </c>
      <c r="T143" s="232">
        <f t="shared" si="8"/>
        <v>900</v>
      </c>
      <c r="U143" s="339"/>
      <c r="V143" s="339"/>
      <c r="W143" s="307">
        <f>SUM(W144:W149)</f>
        <v>900</v>
      </c>
    </row>
    <row r="144" spans="1:23" s="235" customFormat="1" ht="46.8">
      <c r="A144" s="279" t="s">
        <v>540</v>
      </c>
      <c r="B144" s="280" t="s">
        <v>619</v>
      </c>
      <c r="C144" s="226"/>
      <c r="D144" s="226"/>
      <c r="E144" s="226"/>
      <c r="F144" s="294"/>
      <c r="G144" s="294"/>
      <c r="H144" s="294"/>
      <c r="I144" s="227"/>
      <c r="J144" s="227"/>
      <c r="K144" s="294"/>
      <c r="L144" s="232">
        <f t="shared" si="6"/>
        <v>0</v>
      </c>
      <c r="M144" s="226"/>
      <c r="N144" s="226"/>
      <c r="O144" s="292"/>
      <c r="P144" s="232">
        <f t="shared" si="7"/>
        <v>0</v>
      </c>
      <c r="Q144" s="226"/>
      <c r="R144" s="226"/>
      <c r="S144" s="328"/>
      <c r="T144" s="232">
        <f t="shared" si="8"/>
        <v>900</v>
      </c>
      <c r="U144" s="339"/>
      <c r="V144" s="339"/>
      <c r="W144" s="290">
        <v>900</v>
      </c>
    </row>
  </sheetData>
  <mergeCells count="23">
    <mergeCell ref="A1:B1"/>
    <mergeCell ref="A2:B2"/>
    <mergeCell ref="A3:W3"/>
    <mergeCell ref="A4:W4"/>
    <mergeCell ref="A5:W5"/>
    <mergeCell ref="A7:A9"/>
    <mergeCell ref="U8:W8"/>
    <mergeCell ref="L7:O7"/>
    <mergeCell ref="P7:S7"/>
    <mergeCell ref="H8:K8"/>
    <mergeCell ref="T7:W7"/>
    <mergeCell ref="F8:F9"/>
    <mergeCell ref="G8:G9"/>
    <mergeCell ref="L8:L9"/>
    <mergeCell ref="M8:O8"/>
    <mergeCell ref="P8:P9"/>
    <mergeCell ref="B7:B9"/>
    <mergeCell ref="Q8:S8"/>
    <mergeCell ref="T8:T9"/>
    <mergeCell ref="C7:C9"/>
    <mergeCell ref="D7:D9"/>
    <mergeCell ref="E7:E9"/>
    <mergeCell ref="F7:K7"/>
  </mergeCells>
  <printOptions horizontalCentered="1"/>
  <pageMargins left="0.25" right="0.25" top="0.7" bottom="0.5" header="0.3" footer="0.3"/>
  <pageSetup paperSize="9" scale="64" fitToHeight="0" orientation="landscape" verticalDpi="0" r:id="rId1"/>
  <headerFooter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E32"/>
  <sheetViews>
    <sheetView workbookViewId="0">
      <selection activeCell="C1" sqref="C1"/>
    </sheetView>
  </sheetViews>
  <sheetFormatPr defaultColWidth="9" defaultRowHeight="16.8"/>
  <cols>
    <col min="1" max="1" width="8.8984375" style="65" customWidth="1"/>
    <col min="2" max="2" width="55.5" style="65" customWidth="1"/>
    <col min="3" max="3" width="30.09765625" style="66" customWidth="1"/>
    <col min="4" max="4" width="10.09765625" style="65" bestFit="1" customWidth="1"/>
    <col min="5" max="5" width="11.5" style="65" bestFit="1" customWidth="1"/>
    <col min="6" max="16384" width="9" style="65"/>
  </cols>
  <sheetData>
    <row r="1" spans="1:5" ht="14.25" customHeight="1">
      <c r="A1" s="67"/>
      <c r="C1" s="425" t="s">
        <v>114</v>
      </c>
    </row>
    <row r="2" spans="1:5" ht="42" customHeight="1">
      <c r="A2" s="348" t="s">
        <v>523</v>
      </c>
      <c r="B2" s="348"/>
      <c r="C2" s="348"/>
    </row>
    <row r="3" spans="1:5">
      <c r="A3" s="428" t="s">
        <v>113</v>
      </c>
      <c r="B3" s="428"/>
      <c r="C3" s="428"/>
    </row>
    <row r="4" spans="1:5">
      <c r="A4" s="347" t="s">
        <v>522</v>
      </c>
      <c r="B4" s="347"/>
      <c r="C4" s="347"/>
      <c r="D4" s="72"/>
    </row>
    <row r="5" spans="1:5" ht="17.399999999999999">
      <c r="C5" s="70" t="s">
        <v>0</v>
      </c>
    </row>
    <row r="6" spans="1:5">
      <c r="A6" s="416" t="s">
        <v>1</v>
      </c>
      <c r="B6" s="416" t="s">
        <v>2</v>
      </c>
      <c r="C6" s="417" t="s">
        <v>115</v>
      </c>
    </row>
    <row r="7" spans="1:5">
      <c r="A7" s="418" t="s">
        <v>3</v>
      </c>
      <c r="B7" s="419" t="s">
        <v>30</v>
      </c>
      <c r="C7" s="426">
        <f>C9+C10+C11+C14+C16</f>
        <v>3161055</v>
      </c>
      <c r="E7" s="71"/>
    </row>
    <row r="8" spans="1:5">
      <c r="A8" s="418" t="s">
        <v>6</v>
      </c>
      <c r="B8" s="419" t="s">
        <v>31</v>
      </c>
      <c r="C8" s="426">
        <f>C9+C10+C11+C14+C15+C16+C17</f>
        <v>3161055</v>
      </c>
      <c r="E8" s="71"/>
    </row>
    <row r="9" spans="1:5">
      <c r="A9" s="421">
        <v>1</v>
      </c>
      <c r="B9" s="422" t="s">
        <v>32</v>
      </c>
      <c r="C9" s="427">
        <f>1864000-270000</f>
        <v>1594000</v>
      </c>
      <c r="E9" s="71"/>
    </row>
    <row r="10" spans="1:5">
      <c r="A10" s="421">
        <v>2</v>
      </c>
      <c r="B10" s="422" t="s">
        <v>138</v>
      </c>
      <c r="C10" s="427">
        <v>0</v>
      </c>
    </row>
    <row r="11" spans="1:5">
      <c r="A11" s="421">
        <v>3</v>
      </c>
      <c r="B11" s="422" t="s">
        <v>12</v>
      </c>
      <c r="C11" s="426">
        <f>C12+C13</f>
        <v>1139042</v>
      </c>
    </row>
    <row r="12" spans="1:5">
      <c r="A12" s="421" t="s">
        <v>8</v>
      </c>
      <c r="B12" s="422" t="s">
        <v>13</v>
      </c>
      <c r="C12" s="427">
        <v>1047432</v>
      </c>
    </row>
    <row r="13" spans="1:5">
      <c r="A13" s="421" t="s">
        <v>8</v>
      </c>
      <c r="B13" s="422" t="s">
        <v>328</v>
      </c>
      <c r="C13" s="427">
        <v>91610</v>
      </c>
    </row>
    <row r="14" spans="1:5">
      <c r="A14" s="421">
        <v>4</v>
      </c>
      <c r="B14" s="422" t="s">
        <v>327</v>
      </c>
      <c r="C14" s="427">
        <v>270000</v>
      </c>
    </row>
    <row r="15" spans="1:5">
      <c r="A15" s="421">
        <v>5</v>
      </c>
      <c r="B15" s="422" t="s">
        <v>16</v>
      </c>
      <c r="C15" s="427">
        <v>0</v>
      </c>
    </row>
    <row r="16" spans="1:5">
      <c r="A16" s="421">
        <v>6</v>
      </c>
      <c r="B16" s="422" t="s">
        <v>341</v>
      </c>
      <c r="C16" s="427">
        <v>158013</v>
      </c>
    </row>
    <row r="17" spans="1:5">
      <c r="A17" s="421">
        <v>7</v>
      </c>
      <c r="B17" s="422" t="s">
        <v>18</v>
      </c>
      <c r="C17" s="427">
        <v>0</v>
      </c>
    </row>
    <row r="18" spans="1:5">
      <c r="A18" s="418" t="s">
        <v>11</v>
      </c>
      <c r="B18" s="419" t="s">
        <v>33</v>
      </c>
      <c r="C18" s="426">
        <f>C19</f>
        <v>2176115</v>
      </c>
      <c r="D18" s="71"/>
      <c r="E18" s="71"/>
    </row>
    <row r="19" spans="1:5">
      <c r="A19" s="421">
        <v>1</v>
      </c>
      <c r="B19" s="422" t="s">
        <v>34</v>
      </c>
      <c r="C19" s="426">
        <v>2176115</v>
      </c>
    </row>
    <row r="20" spans="1:5">
      <c r="A20" s="421">
        <v>2</v>
      </c>
      <c r="B20" s="422" t="s">
        <v>35</v>
      </c>
      <c r="C20" s="426">
        <f>SUM(C21:C22)</f>
        <v>0</v>
      </c>
      <c r="E20" s="71"/>
    </row>
    <row r="21" spans="1:5">
      <c r="A21" s="421" t="s">
        <v>36</v>
      </c>
      <c r="B21" s="422" t="s">
        <v>37</v>
      </c>
      <c r="C21" s="427">
        <v>0</v>
      </c>
    </row>
    <row r="22" spans="1:5">
      <c r="A22" s="421" t="s">
        <v>36</v>
      </c>
      <c r="B22" s="422" t="s">
        <v>38</v>
      </c>
      <c r="C22" s="427">
        <v>0</v>
      </c>
    </row>
    <row r="23" spans="1:5">
      <c r="A23" s="421">
        <v>3</v>
      </c>
      <c r="B23" s="422" t="s">
        <v>29</v>
      </c>
      <c r="C23" s="427">
        <v>0</v>
      </c>
    </row>
    <row r="24" spans="1:5">
      <c r="A24" s="418" t="s">
        <v>4</v>
      </c>
      <c r="B24" s="419" t="s">
        <v>39</v>
      </c>
      <c r="C24" s="426">
        <f>C25</f>
        <v>315968</v>
      </c>
    </row>
    <row r="25" spans="1:5">
      <c r="A25" s="418" t="s">
        <v>6</v>
      </c>
      <c r="B25" s="419" t="s">
        <v>31</v>
      </c>
      <c r="C25" s="426">
        <f>C26+C27</f>
        <v>315968</v>
      </c>
    </row>
    <row r="26" spans="1:5">
      <c r="A26" s="421">
        <v>1</v>
      </c>
      <c r="B26" s="422" t="s">
        <v>32</v>
      </c>
      <c r="C26" s="427">
        <v>200026</v>
      </c>
    </row>
    <row r="27" spans="1:5">
      <c r="A27" s="421">
        <v>2</v>
      </c>
      <c r="B27" s="422" t="s">
        <v>40</v>
      </c>
      <c r="C27" s="426">
        <f>SUM(C28:C29)</f>
        <v>115942</v>
      </c>
    </row>
    <row r="28" spans="1:5">
      <c r="A28" s="421" t="s">
        <v>41</v>
      </c>
      <c r="B28" s="422" t="s">
        <v>13</v>
      </c>
      <c r="C28" s="427">
        <v>104210</v>
      </c>
    </row>
    <row r="29" spans="1:5">
      <c r="A29" s="421" t="s">
        <v>41</v>
      </c>
      <c r="B29" s="422" t="s">
        <v>14</v>
      </c>
      <c r="C29" s="427">
        <v>11732</v>
      </c>
    </row>
    <row r="30" spans="1:5">
      <c r="A30" s="421">
        <v>3</v>
      </c>
      <c r="B30" s="422" t="s">
        <v>16</v>
      </c>
      <c r="C30" s="427">
        <v>0</v>
      </c>
    </row>
    <row r="31" spans="1:5">
      <c r="A31" s="421">
        <v>4</v>
      </c>
      <c r="B31" s="422" t="s">
        <v>18</v>
      </c>
      <c r="C31" s="427">
        <v>0</v>
      </c>
    </row>
    <row r="32" spans="1:5">
      <c r="A32" s="418" t="s">
        <v>11</v>
      </c>
      <c r="B32" s="419" t="s">
        <v>33</v>
      </c>
      <c r="C32" s="426">
        <v>315968</v>
      </c>
    </row>
  </sheetData>
  <mergeCells count="3">
    <mergeCell ref="A2:C2"/>
    <mergeCell ref="A3:C3"/>
    <mergeCell ref="A4:C4"/>
  </mergeCells>
  <phoneticPr fontId="5" type="noConversion"/>
  <printOptions horizontalCentered="1"/>
  <pageMargins left="0.25" right="0.25" top="0.7" bottom="0.5" header="0.3" footer="0.5"/>
  <pageSetup paperSize="9" scale="98" fitToHeight="0" orientation="portrait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F50"/>
  <sheetViews>
    <sheetView workbookViewId="0">
      <selection sqref="B1"/>
    </sheetView>
  </sheetViews>
  <sheetFormatPr defaultColWidth="9" defaultRowHeight="16.8"/>
  <cols>
    <col min="1" max="1" width="9" style="65" customWidth="1"/>
    <col min="2" max="2" width="47.8984375" style="65" customWidth="1"/>
    <col min="3" max="3" width="19.19921875" style="66" customWidth="1"/>
    <col min="4" max="4" width="23.59765625" style="66" customWidth="1"/>
    <col min="5" max="16384" width="9" style="65"/>
  </cols>
  <sheetData>
    <row r="1" spans="1:6">
      <c r="A1" s="349" t="s">
        <v>137</v>
      </c>
      <c r="B1" s="349"/>
    </row>
    <row r="2" spans="1:6">
      <c r="A2" s="349" t="s">
        <v>135</v>
      </c>
      <c r="B2" s="349"/>
    </row>
    <row r="3" spans="1:6">
      <c r="A3" s="67"/>
      <c r="D3" s="437" t="s">
        <v>116</v>
      </c>
    </row>
    <row r="4" spans="1:6" ht="24" customHeight="1">
      <c r="A4" s="345" t="s">
        <v>524</v>
      </c>
      <c r="B4" s="345"/>
      <c r="C4" s="345"/>
      <c r="D4" s="345"/>
    </row>
    <row r="5" spans="1:6">
      <c r="A5" s="424" t="s">
        <v>113</v>
      </c>
      <c r="B5" s="424"/>
      <c r="C5" s="424"/>
      <c r="D5" s="424"/>
    </row>
    <row r="6" spans="1:6">
      <c r="A6" s="347" t="s">
        <v>522</v>
      </c>
      <c r="B6" s="347"/>
      <c r="C6" s="347"/>
      <c r="D6" s="347"/>
      <c r="E6" s="72"/>
    </row>
    <row r="7" spans="1:6" ht="17.399999999999999">
      <c r="D7" s="70" t="s">
        <v>0</v>
      </c>
    </row>
    <row r="8" spans="1:6">
      <c r="A8" s="429" t="s">
        <v>1</v>
      </c>
      <c r="B8" s="429" t="s">
        <v>2</v>
      </c>
      <c r="C8" s="429" t="s">
        <v>525</v>
      </c>
      <c r="D8" s="429"/>
      <c r="F8" s="71"/>
    </row>
    <row r="9" spans="1:6">
      <c r="A9" s="429"/>
      <c r="B9" s="429"/>
      <c r="C9" s="430" t="s">
        <v>117</v>
      </c>
      <c r="D9" s="430" t="s">
        <v>118</v>
      </c>
    </row>
    <row r="10" spans="1:6" ht="37.5" customHeight="1">
      <c r="A10" s="416"/>
      <c r="B10" s="200" t="s">
        <v>331</v>
      </c>
      <c r="C10" s="417">
        <f>C11+C40+C46+C49</f>
        <v>4263042</v>
      </c>
      <c r="D10" s="417">
        <f>D11+D40+D46+D49</f>
        <v>3161055</v>
      </c>
      <c r="F10" s="71"/>
    </row>
    <row r="11" spans="1:6">
      <c r="A11" s="416" t="s">
        <v>6</v>
      </c>
      <c r="B11" s="200" t="s">
        <v>330</v>
      </c>
      <c r="C11" s="417">
        <f>C12+C14+C16+C18+C24+C25+C26+C27+C30+C31+C32+C37</f>
        <v>3124000</v>
      </c>
      <c r="D11" s="417">
        <f>D12+D14+D16+D18+D24+D25+D26+D27+D30+D31+D32+D37</f>
        <v>1864000</v>
      </c>
    </row>
    <row r="12" spans="1:6" ht="18.75" customHeight="1">
      <c r="A12" s="431">
        <v>1</v>
      </c>
      <c r="B12" s="432" t="s">
        <v>42</v>
      </c>
      <c r="C12" s="433"/>
      <c r="D12" s="433"/>
    </row>
    <row r="13" spans="1:6">
      <c r="A13" s="431"/>
      <c r="B13" s="432" t="s">
        <v>43</v>
      </c>
      <c r="C13" s="433"/>
      <c r="D13" s="433"/>
    </row>
    <row r="14" spans="1:6" ht="21" customHeight="1">
      <c r="A14" s="431">
        <v>2</v>
      </c>
      <c r="B14" s="432" t="s">
        <v>119</v>
      </c>
      <c r="C14" s="433"/>
      <c r="D14" s="433"/>
    </row>
    <row r="15" spans="1:6">
      <c r="A15" s="431"/>
      <c r="B15" s="432" t="s">
        <v>43</v>
      </c>
      <c r="C15" s="433"/>
      <c r="D15" s="433"/>
    </row>
    <row r="16" spans="1:6" ht="33.6">
      <c r="A16" s="431">
        <v>3</v>
      </c>
      <c r="B16" s="432" t="s">
        <v>44</v>
      </c>
      <c r="C16" s="433"/>
      <c r="D16" s="433"/>
    </row>
    <row r="17" spans="1:4">
      <c r="A17" s="431"/>
      <c r="B17" s="432" t="s">
        <v>43</v>
      </c>
      <c r="C17" s="433"/>
      <c r="D17" s="433"/>
    </row>
    <row r="18" spans="1:4" ht="18.75" customHeight="1">
      <c r="A18" s="431">
        <v>4</v>
      </c>
      <c r="B18" s="200" t="s">
        <v>45</v>
      </c>
      <c r="C18" s="417">
        <f>SUM(C20:C23)</f>
        <v>1700000</v>
      </c>
      <c r="D18" s="417">
        <f>SUM(D20:D23)</f>
        <v>860000</v>
      </c>
    </row>
    <row r="19" spans="1:4">
      <c r="A19" s="431"/>
      <c r="B19" s="432" t="s">
        <v>43</v>
      </c>
      <c r="C19" s="433"/>
      <c r="D19" s="417"/>
    </row>
    <row r="20" spans="1:4">
      <c r="A20" s="434" t="s">
        <v>8</v>
      </c>
      <c r="B20" s="432" t="s">
        <v>139</v>
      </c>
      <c r="C20" s="433">
        <v>1292800</v>
      </c>
      <c r="D20" s="433">
        <f>C20*50%</f>
        <v>646400</v>
      </c>
    </row>
    <row r="21" spans="1:4" ht="19.5" customHeight="1">
      <c r="A21" s="434" t="s">
        <v>8</v>
      </c>
      <c r="B21" s="432" t="s">
        <v>419</v>
      </c>
      <c r="C21" s="433">
        <v>2200</v>
      </c>
      <c r="D21" s="433">
        <f>C21*50%</f>
        <v>1100</v>
      </c>
    </row>
    <row r="22" spans="1:4">
      <c r="A22" s="434" t="s">
        <v>8</v>
      </c>
      <c r="B22" s="432" t="s">
        <v>420</v>
      </c>
      <c r="C22" s="433">
        <v>385000</v>
      </c>
      <c r="D22" s="433">
        <f>C22*50%</f>
        <v>192500</v>
      </c>
    </row>
    <row r="23" spans="1:4">
      <c r="A23" s="434" t="s">
        <v>8</v>
      </c>
      <c r="B23" s="432" t="s">
        <v>140</v>
      </c>
      <c r="C23" s="433">
        <v>20000</v>
      </c>
      <c r="D23" s="433">
        <f>C23</f>
        <v>20000</v>
      </c>
    </row>
    <row r="24" spans="1:4">
      <c r="A24" s="431">
        <v>5</v>
      </c>
      <c r="B24" s="200" t="s">
        <v>421</v>
      </c>
      <c r="C24" s="417">
        <v>380000</v>
      </c>
      <c r="D24" s="417">
        <f>C24*50%</f>
        <v>190000</v>
      </c>
    </row>
    <row r="25" spans="1:4">
      <c r="A25" s="431">
        <v>6</v>
      </c>
      <c r="B25" s="200" t="s">
        <v>422</v>
      </c>
      <c r="C25" s="417">
        <v>10000</v>
      </c>
      <c r="D25" s="417">
        <f>C25*50%</f>
        <v>5000</v>
      </c>
    </row>
    <row r="26" spans="1:4">
      <c r="A26" s="431">
        <v>7</v>
      </c>
      <c r="B26" s="200" t="s">
        <v>414</v>
      </c>
      <c r="C26" s="417">
        <v>350000</v>
      </c>
      <c r="D26" s="417">
        <f>C26*100%</f>
        <v>350000</v>
      </c>
    </row>
    <row r="27" spans="1:4">
      <c r="A27" s="431">
        <v>8</v>
      </c>
      <c r="B27" s="200" t="s">
        <v>415</v>
      </c>
      <c r="C27" s="417">
        <v>75000</v>
      </c>
      <c r="D27" s="417">
        <f>D28</f>
        <v>60000</v>
      </c>
    </row>
    <row r="28" spans="1:4" ht="20.25" customHeight="1">
      <c r="A28" s="431"/>
      <c r="B28" s="435" t="s">
        <v>333</v>
      </c>
      <c r="C28" s="433">
        <v>60000</v>
      </c>
      <c r="D28" s="433">
        <f>C28</f>
        <v>60000</v>
      </c>
    </row>
    <row r="29" spans="1:4" ht="20.25" customHeight="1">
      <c r="A29" s="431">
        <v>9</v>
      </c>
      <c r="B29" s="200" t="s">
        <v>46</v>
      </c>
      <c r="C29" s="433"/>
      <c r="D29" s="433"/>
    </row>
    <row r="30" spans="1:4" ht="20.25" customHeight="1">
      <c r="A30" s="431">
        <v>10</v>
      </c>
      <c r="B30" s="200" t="s">
        <v>47</v>
      </c>
      <c r="C30" s="417">
        <v>59000</v>
      </c>
      <c r="D30" s="417">
        <f>C30</f>
        <v>59000</v>
      </c>
    </row>
    <row r="31" spans="1:4" ht="20.25" customHeight="1">
      <c r="A31" s="431">
        <v>11</v>
      </c>
      <c r="B31" s="200" t="s">
        <v>48</v>
      </c>
      <c r="C31" s="417">
        <v>10000</v>
      </c>
      <c r="D31" s="417">
        <f>C31</f>
        <v>10000</v>
      </c>
    </row>
    <row r="32" spans="1:4" ht="20.25" customHeight="1">
      <c r="A32" s="431">
        <v>12</v>
      </c>
      <c r="B32" s="200" t="s">
        <v>49</v>
      </c>
      <c r="C32" s="417">
        <v>450000</v>
      </c>
      <c r="D32" s="417">
        <f>C32*60%</f>
        <v>270000</v>
      </c>
    </row>
    <row r="33" spans="1:4" ht="20.25" customHeight="1">
      <c r="A33" s="431">
        <v>13</v>
      </c>
      <c r="B33" s="200" t="s">
        <v>50</v>
      </c>
      <c r="C33" s="433">
        <v>0</v>
      </c>
      <c r="D33" s="433">
        <v>0</v>
      </c>
    </row>
    <row r="34" spans="1:4" ht="20.25" customHeight="1">
      <c r="A34" s="431">
        <v>14</v>
      </c>
      <c r="B34" s="200" t="s">
        <v>51</v>
      </c>
      <c r="C34" s="417"/>
      <c r="D34" s="417"/>
    </row>
    <row r="35" spans="1:4" ht="18.75" customHeight="1">
      <c r="A35" s="431"/>
      <c r="B35" s="432" t="s">
        <v>43</v>
      </c>
      <c r="C35" s="433">
        <v>0</v>
      </c>
      <c r="D35" s="433">
        <v>0</v>
      </c>
    </row>
    <row r="36" spans="1:4" ht="19.5" customHeight="1">
      <c r="A36" s="431">
        <v>15</v>
      </c>
      <c r="B36" s="432" t="s">
        <v>52</v>
      </c>
      <c r="C36" s="433">
        <v>0</v>
      </c>
      <c r="D36" s="433">
        <v>0</v>
      </c>
    </row>
    <row r="37" spans="1:4" ht="22.5" customHeight="1">
      <c r="A37" s="431">
        <v>16</v>
      </c>
      <c r="B37" s="200" t="s">
        <v>53</v>
      </c>
      <c r="C37" s="417">
        <v>90000</v>
      </c>
      <c r="D37" s="417">
        <v>60000</v>
      </c>
    </row>
    <row r="38" spans="1:4" ht="22.5" customHeight="1">
      <c r="A38" s="431"/>
      <c r="B38" s="436" t="s">
        <v>334</v>
      </c>
      <c r="C38" s="433">
        <v>60000</v>
      </c>
      <c r="D38" s="433">
        <v>60000</v>
      </c>
    </row>
    <row r="39" spans="1:4" ht="40.799999999999997" customHeight="1">
      <c r="A39" s="431">
        <v>17</v>
      </c>
      <c r="B39" s="200" t="s">
        <v>54</v>
      </c>
      <c r="C39" s="433"/>
      <c r="D39" s="433"/>
    </row>
    <row r="40" spans="1:4" ht="34.5" customHeight="1">
      <c r="A40" s="416" t="s">
        <v>11</v>
      </c>
      <c r="B40" s="200" t="s">
        <v>141</v>
      </c>
      <c r="C40" s="417">
        <f>SUM(C41:C44)</f>
        <v>0</v>
      </c>
      <c r="D40" s="417">
        <f>SUM(D41:D44)</f>
        <v>0</v>
      </c>
    </row>
    <row r="41" spans="1:4" ht="21.75" customHeight="1">
      <c r="A41" s="431"/>
      <c r="B41" s="432" t="s">
        <v>140</v>
      </c>
      <c r="C41" s="433"/>
      <c r="D41" s="433"/>
    </row>
    <row r="42" spans="1:4" ht="39" customHeight="1">
      <c r="A42" s="431"/>
      <c r="B42" s="432" t="s">
        <v>342</v>
      </c>
      <c r="C42" s="433"/>
      <c r="D42" s="433"/>
    </row>
    <row r="43" spans="1:4" hidden="1">
      <c r="A43" s="431"/>
      <c r="B43" s="432"/>
      <c r="C43" s="433"/>
      <c r="D43" s="433">
        <f>C43*47%</f>
        <v>0</v>
      </c>
    </row>
    <row r="44" spans="1:4" hidden="1">
      <c r="A44" s="431"/>
      <c r="B44" s="432"/>
      <c r="C44" s="433"/>
      <c r="D44" s="433">
        <f>C44*47%</f>
        <v>0</v>
      </c>
    </row>
    <row r="45" spans="1:4" hidden="1">
      <c r="A45" s="431"/>
      <c r="B45" s="432"/>
      <c r="C45" s="433"/>
      <c r="D45" s="433"/>
    </row>
    <row r="46" spans="1:4" ht="19.5" customHeight="1">
      <c r="A46" s="416" t="s">
        <v>15</v>
      </c>
      <c r="B46" s="200" t="s">
        <v>416</v>
      </c>
      <c r="C46" s="417">
        <f>C47+C48</f>
        <v>1139042</v>
      </c>
      <c r="D46" s="417">
        <f>D47+D48</f>
        <v>1139042</v>
      </c>
    </row>
    <row r="47" spans="1:4" ht="19.5" customHeight="1">
      <c r="A47" s="431"/>
      <c r="B47" s="432" t="s">
        <v>423</v>
      </c>
      <c r="C47" s="433">
        <v>1047432</v>
      </c>
      <c r="D47" s="433">
        <f>C47</f>
        <v>1047432</v>
      </c>
    </row>
    <row r="48" spans="1:4" ht="19.5" customHeight="1">
      <c r="A48" s="431"/>
      <c r="B48" s="432" t="s">
        <v>424</v>
      </c>
      <c r="C48" s="433">
        <v>91610</v>
      </c>
      <c r="D48" s="433">
        <f>C48</f>
        <v>91610</v>
      </c>
    </row>
    <row r="49" spans="1:4" ht="23.25" customHeight="1">
      <c r="A49" s="416" t="s">
        <v>17</v>
      </c>
      <c r="B49" s="200" t="s">
        <v>343</v>
      </c>
      <c r="C49" s="417"/>
      <c r="D49" s="417">
        <v>158013</v>
      </c>
    </row>
    <row r="50" spans="1:4" ht="17.399999999999999">
      <c r="A50" s="73"/>
    </row>
  </sheetData>
  <mergeCells count="8">
    <mergeCell ref="A8:A9"/>
    <mergeCell ref="B8:B9"/>
    <mergeCell ref="C8:D8"/>
    <mergeCell ref="A4:D4"/>
    <mergeCell ref="A5:D5"/>
    <mergeCell ref="A1:B1"/>
    <mergeCell ref="A6:D6"/>
    <mergeCell ref="A2:B2"/>
  </mergeCells>
  <phoneticPr fontId="5" type="noConversion"/>
  <printOptions horizontalCentered="1"/>
  <pageMargins left="0.25" right="0.25" top="0.75" bottom="0.5" header="0.3" footer="0.5"/>
  <pageSetup paperSize="9" scale="93" fitToHeight="0" orientation="portrait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2:G36"/>
  <sheetViews>
    <sheetView workbookViewId="0">
      <selection activeCell="A6" sqref="A6:E6"/>
    </sheetView>
  </sheetViews>
  <sheetFormatPr defaultColWidth="9" defaultRowHeight="16.8"/>
  <cols>
    <col min="1" max="1" width="5.3984375" style="65" customWidth="1"/>
    <col min="2" max="2" width="39.3984375" style="65" customWidth="1"/>
    <col min="3" max="3" width="20.8984375" style="65" customWidth="1"/>
    <col min="4" max="4" width="20.19921875" style="66" customWidth="1"/>
    <col min="5" max="5" width="22.5" style="66" customWidth="1"/>
    <col min="6" max="16384" width="9" style="65"/>
  </cols>
  <sheetData>
    <row r="2" spans="1:7">
      <c r="A2" s="349" t="s">
        <v>137</v>
      </c>
      <c r="B2" s="349"/>
    </row>
    <row r="3" spans="1:7">
      <c r="A3" s="349" t="s">
        <v>135</v>
      </c>
      <c r="B3" s="349"/>
      <c r="E3" s="438" t="s">
        <v>120</v>
      </c>
    </row>
    <row r="4" spans="1:7" ht="13.5" customHeight="1">
      <c r="A4" s="439"/>
    </row>
    <row r="5" spans="1:7" ht="36" customHeight="1">
      <c r="A5" s="350" t="s">
        <v>628</v>
      </c>
      <c r="B5" s="350"/>
      <c r="C5" s="350"/>
      <c r="D5" s="350"/>
      <c r="E5" s="350"/>
    </row>
    <row r="6" spans="1:7">
      <c r="A6" s="424" t="s">
        <v>113</v>
      </c>
      <c r="B6" s="424"/>
      <c r="C6" s="424"/>
      <c r="D6" s="424"/>
      <c r="E6" s="424"/>
    </row>
    <row r="7" spans="1:7">
      <c r="A7" s="347" t="s">
        <v>522</v>
      </c>
      <c r="B7" s="347"/>
      <c r="C7" s="347"/>
      <c r="D7" s="347"/>
      <c r="E7" s="347"/>
    </row>
    <row r="8" spans="1:7">
      <c r="E8" s="440" t="s">
        <v>0</v>
      </c>
    </row>
    <row r="9" spans="1:7">
      <c r="A9" s="441" t="s">
        <v>1</v>
      </c>
      <c r="B9" s="441" t="s">
        <v>55</v>
      </c>
      <c r="C9" s="441" t="s">
        <v>56</v>
      </c>
      <c r="D9" s="441" t="s">
        <v>57</v>
      </c>
      <c r="E9" s="441"/>
    </row>
    <row r="10" spans="1:7">
      <c r="A10" s="441"/>
      <c r="B10" s="441"/>
      <c r="C10" s="441"/>
      <c r="D10" s="442" t="s">
        <v>58</v>
      </c>
      <c r="E10" s="417" t="s">
        <v>59</v>
      </c>
    </row>
    <row r="11" spans="1:7">
      <c r="A11" s="441"/>
      <c r="B11" s="441"/>
      <c r="C11" s="441"/>
      <c r="D11" s="442"/>
      <c r="E11" s="417" t="s">
        <v>60</v>
      </c>
    </row>
    <row r="12" spans="1:7">
      <c r="A12" s="418"/>
      <c r="B12" s="418" t="s">
        <v>19</v>
      </c>
      <c r="C12" s="443">
        <f>C13</f>
        <v>3161055</v>
      </c>
      <c r="D12" s="443">
        <f>D13</f>
        <v>2845087</v>
      </c>
      <c r="E12" s="443">
        <f>E13</f>
        <v>315968</v>
      </c>
    </row>
    <row r="13" spans="1:7">
      <c r="A13" s="418" t="s">
        <v>3</v>
      </c>
      <c r="B13" s="419" t="s">
        <v>61</v>
      </c>
      <c r="C13" s="443">
        <f>C14+C23+C27+C28+C29</f>
        <v>3161055</v>
      </c>
      <c r="D13" s="443">
        <f>D14+D23+D27+D28+D29</f>
        <v>2845087</v>
      </c>
      <c r="E13" s="443">
        <f>E14+E23+E27+E28</f>
        <v>315968</v>
      </c>
    </row>
    <row r="14" spans="1:7">
      <c r="A14" s="418" t="s">
        <v>6</v>
      </c>
      <c r="B14" s="419" t="s">
        <v>22</v>
      </c>
      <c r="C14" s="443">
        <f>C15+C20+C21</f>
        <v>611867</v>
      </c>
      <c r="D14" s="443">
        <f>D15+D20+D21</f>
        <v>611867</v>
      </c>
      <c r="E14" s="420">
        <f>E15+E20+E21</f>
        <v>0</v>
      </c>
      <c r="G14" s="71"/>
    </row>
    <row r="15" spans="1:7">
      <c r="A15" s="421">
        <v>1</v>
      </c>
      <c r="B15" s="422" t="s">
        <v>62</v>
      </c>
      <c r="C15" s="444">
        <f>D15+E15</f>
        <v>611867</v>
      </c>
      <c r="D15" s="423">
        <v>611867</v>
      </c>
      <c r="E15" s="423">
        <v>0</v>
      </c>
    </row>
    <row r="16" spans="1:7">
      <c r="A16" s="421"/>
      <c r="B16" s="422" t="s">
        <v>63</v>
      </c>
      <c r="C16" s="444">
        <f t="shared" ref="C16:C35" si="0">D16+E16</f>
        <v>0</v>
      </c>
      <c r="D16" s="423">
        <v>0</v>
      </c>
      <c r="E16" s="423">
        <v>0</v>
      </c>
    </row>
    <row r="17" spans="1:5">
      <c r="A17" s="421" t="s">
        <v>8</v>
      </c>
      <c r="B17" s="445" t="s">
        <v>64</v>
      </c>
      <c r="C17" s="444">
        <f t="shared" si="0"/>
        <v>0</v>
      </c>
      <c r="D17" s="423">
        <v>0</v>
      </c>
      <c r="E17" s="423">
        <v>0</v>
      </c>
    </row>
    <row r="18" spans="1:5">
      <c r="A18" s="421" t="s">
        <v>8</v>
      </c>
      <c r="B18" s="445" t="s">
        <v>65</v>
      </c>
      <c r="C18" s="444">
        <f t="shared" si="0"/>
        <v>0</v>
      </c>
      <c r="D18" s="423">
        <v>0</v>
      </c>
      <c r="E18" s="423">
        <v>0</v>
      </c>
    </row>
    <row r="19" spans="1:5">
      <c r="A19" s="421"/>
      <c r="B19" s="422" t="s">
        <v>66</v>
      </c>
      <c r="C19" s="444">
        <f t="shared" si="0"/>
        <v>0</v>
      </c>
      <c r="D19" s="423">
        <v>0</v>
      </c>
      <c r="E19" s="423"/>
    </row>
    <row r="20" spans="1:5">
      <c r="A20" s="421" t="s">
        <v>8</v>
      </c>
      <c r="B20" s="445" t="s">
        <v>67</v>
      </c>
      <c r="C20" s="444">
        <f t="shared" si="0"/>
        <v>0</v>
      </c>
      <c r="D20" s="423"/>
      <c r="E20" s="423">
        <v>0</v>
      </c>
    </row>
    <row r="21" spans="1:5">
      <c r="A21" s="421" t="s">
        <v>8</v>
      </c>
      <c r="B21" s="445" t="s">
        <v>68</v>
      </c>
      <c r="C21" s="444">
        <f t="shared" si="0"/>
        <v>0</v>
      </c>
      <c r="D21" s="423"/>
      <c r="E21" s="423">
        <v>0</v>
      </c>
    </row>
    <row r="22" spans="1:5">
      <c r="A22" s="421">
        <v>2</v>
      </c>
      <c r="B22" s="422" t="s">
        <v>69</v>
      </c>
      <c r="C22" s="444">
        <f t="shared" si="0"/>
        <v>0</v>
      </c>
      <c r="D22" s="423"/>
      <c r="E22" s="423">
        <v>0</v>
      </c>
    </row>
    <row r="23" spans="1:5">
      <c r="A23" s="418" t="s">
        <v>11</v>
      </c>
      <c r="B23" s="419" t="s">
        <v>23</v>
      </c>
      <c r="C23" s="443">
        <f t="shared" si="0"/>
        <v>2485888</v>
      </c>
      <c r="D23" s="420">
        <v>2176115</v>
      </c>
      <c r="E23" s="420">
        <v>309773</v>
      </c>
    </row>
    <row r="24" spans="1:5">
      <c r="A24" s="421"/>
      <c r="B24" s="422" t="s">
        <v>70</v>
      </c>
      <c r="C24" s="444">
        <f t="shared" si="0"/>
        <v>0</v>
      </c>
      <c r="D24" s="423">
        <v>0</v>
      </c>
      <c r="E24" s="423">
        <v>0</v>
      </c>
    </row>
    <row r="25" spans="1:5">
      <c r="A25" s="421">
        <v>1</v>
      </c>
      <c r="B25" s="445" t="s">
        <v>64</v>
      </c>
      <c r="C25" s="444">
        <f t="shared" si="0"/>
        <v>1191206</v>
      </c>
      <c r="D25" s="423">
        <v>1191206</v>
      </c>
      <c r="E25" s="423">
        <v>0</v>
      </c>
    </row>
    <row r="26" spans="1:5">
      <c r="A26" s="421">
        <v>2</v>
      </c>
      <c r="B26" s="445" t="s">
        <v>65</v>
      </c>
      <c r="C26" s="444">
        <f t="shared" si="0"/>
        <v>0</v>
      </c>
      <c r="D26" s="423">
        <v>0</v>
      </c>
      <c r="E26" s="423">
        <v>0</v>
      </c>
    </row>
    <row r="27" spans="1:5">
      <c r="A27" s="418" t="s">
        <v>15</v>
      </c>
      <c r="B27" s="419" t="s">
        <v>24</v>
      </c>
      <c r="C27" s="443">
        <f t="shared" si="0"/>
        <v>63300</v>
      </c>
      <c r="D27" s="420">
        <v>57105</v>
      </c>
      <c r="E27" s="420">
        <v>6195</v>
      </c>
    </row>
    <row r="28" spans="1:5">
      <c r="A28" s="418" t="s">
        <v>17</v>
      </c>
      <c r="B28" s="419" t="s">
        <v>25</v>
      </c>
      <c r="C28" s="443">
        <f t="shared" si="0"/>
        <v>0</v>
      </c>
      <c r="D28" s="420">
        <v>0</v>
      </c>
      <c r="E28" s="423"/>
    </row>
    <row r="29" spans="1:5" ht="33.6">
      <c r="A29" s="418" t="s">
        <v>98</v>
      </c>
      <c r="B29" s="419" t="s">
        <v>332</v>
      </c>
      <c r="C29" s="443">
        <f t="shared" si="0"/>
        <v>0</v>
      </c>
      <c r="D29" s="420">
        <v>0</v>
      </c>
      <c r="E29" s="423"/>
    </row>
    <row r="30" spans="1:5" ht="33.6">
      <c r="A30" s="418" t="s">
        <v>4</v>
      </c>
      <c r="B30" s="419" t="s">
        <v>71</v>
      </c>
      <c r="C30" s="444">
        <f t="shared" si="0"/>
        <v>0</v>
      </c>
      <c r="D30" s="423">
        <v>0</v>
      </c>
      <c r="E30" s="423">
        <v>0</v>
      </c>
    </row>
    <row r="31" spans="1:5">
      <c r="A31" s="418" t="s">
        <v>6</v>
      </c>
      <c r="B31" s="419" t="s">
        <v>27</v>
      </c>
      <c r="C31" s="444">
        <f t="shared" si="0"/>
        <v>0</v>
      </c>
      <c r="D31" s="423">
        <v>0</v>
      </c>
      <c r="E31" s="423">
        <v>0</v>
      </c>
    </row>
    <row r="32" spans="1:5" ht="17.25" customHeight="1">
      <c r="A32" s="418"/>
      <c r="B32" s="422" t="s">
        <v>72</v>
      </c>
      <c r="C32" s="444">
        <f t="shared" si="0"/>
        <v>0</v>
      </c>
      <c r="D32" s="423">
        <v>0</v>
      </c>
      <c r="E32" s="423">
        <v>0</v>
      </c>
    </row>
    <row r="33" spans="1:5" ht="33.6">
      <c r="A33" s="418" t="s">
        <v>11</v>
      </c>
      <c r="B33" s="419" t="s">
        <v>28</v>
      </c>
      <c r="C33" s="444">
        <f t="shared" si="0"/>
        <v>0</v>
      </c>
      <c r="D33" s="423">
        <v>0</v>
      </c>
      <c r="E33" s="423">
        <v>0</v>
      </c>
    </row>
    <row r="34" spans="1:5" ht="19.5" customHeight="1">
      <c r="A34" s="418"/>
      <c r="B34" s="422" t="s">
        <v>73</v>
      </c>
      <c r="C34" s="444">
        <f t="shared" si="0"/>
        <v>0</v>
      </c>
      <c r="D34" s="423">
        <v>0</v>
      </c>
      <c r="E34" s="423">
        <v>0</v>
      </c>
    </row>
    <row r="35" spans="1:5" ht="33.6">
      <c r="A35" s="418" t="s">
        <v>74</v>
      </c>
      <c r="B35" s="419" t="s">
        <v>75</v>
      </c>
      <c r="C35" s="444">
        <f t="shared" si="0"/>
        <v>0</v>
      </c>
      <c r="D35" s="423">
        <v>0</v>
      </c>
      <c r="E35" s="423">
        <v>0</v>
      </c>
    </row>
    <row r="36" spans="1:5">
      <c r="A36" s="74"/>
    </row>
  </sheetData>
  <mergeCells count="10">
    <mergeCell ref="A2:B2"/>
    <mergeCell ref="A7:E7"/>
    <mergeCell ref="A5:E5"/>
    <mergeCell ref="A6:E6"/>
    <mergeCell ref="A9:A11"/>
    <mergeCell ref="B9:B11"/>
    <mergeCell ref="C9:C11"/>
    <mergeCell ref="D9:E9"/>
    <mergeCell ref="D10:D11"/>
    <mergeCell ref="A3:B3"/>
  </mergeCells>
  <phoneticPr fontId="5" type="noConversion"/>
  <printOptions horizontalCentered="1"/>
  <pageMargins left="0.25" right="0.25" top="0.7" bottom="0.5" header="0.3" footer="0.5"/>
  <pageSetup paperSize="9" fitToHeight="0" orientation="landscape" r:id="rId1"/>
  <headerFooter alignWithMargins="0"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2:AB48"/>
  <sheetViews>
    <sheetView workbookViewId="0">
      <selection activeCell="C10" sqref="C10"/>
    </sheetView>
  </sheetViews>
  <sheetFormatPr defaultColWidth="9" defaultRowHeight="16.8"/>
  <cols>
    <col min="1" max="1" width="6.59765625" style="65" customWidth="1"/>
    <col min="2" max="2" width="48.59765625" style="65" customWidth="1"/>
    <col min="3" max="3" width="32.09765625" style="75" customWidth="1"/>
    <col min="4" max="16384" width="9" style="65"/>
  </cols>
  <sheetData>
    <row r="2" spans="1:28">
      <c r="A2" s="349" t="s">
        <v>137</v>
      </c>
      <c r="B2" s="349"/>
    </row>
    <row r="3" spans="1:28">
      <c r="A3" s="349" t="s">
        <v>135</v>
      </c>
      <c r="B3" s="349"/>
    </row>
    <row r="4" spans="1:28">
      <c r="A4" s="447"/>
      <c r="C4" s="450" t="s">
        <v>121</v>
      </c>
    </row>
    <row r="5" spans="1:28" ht="26.25" customHeight="1">
      <c r="A5" s="451" t="s">
        <v>532</v>
      </c>
      <c r="B5" s="451"/>
      <c r="C5" s="451"/>
    </row>
    <row r="6" spans="1:28" ht="21" customHeight="1">
      <c r="A6" s="347" t="s">
        <v>113</v>
      </c>
      <c r="B6" s="347"/>
      <c r="C6" s="347"/>
    </row>
    <row r="7" spans="1:28" ht="39" customHeight="1">
      <c r="A7" s="446" t="s">
        <v>629</v>
      </c>
      <c r="B7" s="446"/>
      <c r="C7" s="446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20.25" customHeight="1">
      <c r="C8" s="452" t="s">
        <v>0</v>
      </c>
    </row>
    <row r="9" spans="1:28">
      <c r="A9" s="418" t="s">
        <v>1</v>
      </c>
      <c r="B9" s="418" t="s">
        <v>55</v>
      </c>
      <c r="C9" s="426" t="s">
        <v>76</v>
      </c>
    </row>
    <row r="10" spans="1:28">
      <c r="A10" s="418"/>
      <c r="B10" s="418" t="s">
        <v>19</v>
      </c>
      <c r="C10" s="420">
        <f>C11+C12+C48</f>
        <v>2961029</v>
      </c>
    </row>
    <row r="11" spans="1:28" ht="33.6">
      <c r="A11" s="418" t="s">
        <v>3</v>
      </c>
      <c r="B11" s="419" t="s">
        <v>77</v>
      </c>
      <c r="C11" s="420">
        <v>115942</v>
      </c>
    </row>
    <row r="12" spans="1:28" ht="33.6">
      <c r="A12" s="418" t="s">
        <v>4</v>
      </c>
      <c r="B12" s="419" t="s">
        <v>78</v>
      </c>
      <c r="C12" s="420">
        <f>C14+C31+C45+C46</f>
        <v>2845087</v>
      </c>
    </row>
    <row r="13" spans="1:28">
      <c r="A13" s="421"/>
      <c r="B13" s="445" t="s">
        <v>70</v>
      </c>
      <c r="C13" s="423"/>
    </row>
    <row r="14" spans="1:28">
      <c r="A14" s="418" t="s">
        <v>6</v>
      </c>
      <c r="B14" s="419" t="s">
        <v>22</v>
      </c>
      <c r="C14" s="420">
        <f>C15+C28+C29</f>
        <v>611867</v>
      </c>
      <c r="G14" s="76"/>
    </row>
    <row r="15" spans="1:28">
      <c r="A15" s="421">
        <v>1</v>
      </c>
      <c r="B15" s="422" t="s">
        <v>62</v>
      </c>
      <c r="C15" s="423">
        <v>611867</v>
      </c>
    </row>
    <row r="16" spans="1:28">
      <c r="A16" s="421"/>
      <c r="B16" s="445" t="s">
        <v>70</v>
      </c>
      <c r="C16" s="423">
        <v>0</v>
      </c>
    </row>
    <row r="17" spans="1:3">
      <c r="A17" s="421">
        <v>1.1000000000000001</v>
      </c>
      <c r="B17" s="422" t="s">
        <v>64</v>
      </c>
      <c r="C17" s="423">
        <v>0</v>
      </c>
    </row>
    <row r="18" spans="1:3">
      <c r="A18" s="421">
        <v>1.2</v>
      </c>
      <c r="B18" s="422" t="s">
        <v>65</v>
      </c>
      <c r="C18" s="423">
        <v>0</v>
      </c>
    </row>
    <row r="19" spans="1:3" hidden="1">
      <c r="A19" s="421">
        <v>1.3</v>
      </c>
      <c r="B19" s="422" t="s">
        <v>79</v>
      </c>
      <c r="C19" s="423"/>
    </row>
    <row r="20" spans="1:3" hidden="1">
      <c r="A20" s="421">
        <v>1.4</v>
      </c>
      <c r="B20" s="422" t="s">
        <v>80</v>
      </c>
      <c r="C20" s="423"/>
    </row>
    <row r="21" spans="1:3" hidden="1">
      <c r="A21" s="421">
        <v>1.5</v>
      </c>
      <c r="B21" s="422" t="s">
        <v>81</v>
      </c>
      <c r="C21" s="423"/>
    </row>
    <row r="22" spans="1:3" hidden="1">
      <c r="A22" s="421">
        <v>1.6</v>
      </c>
      <c r="B22" s="422" t="s">
        <v>82</v>
      </c>
      <c r="C22" s="423"/>
    </row>
    <row r="23" spans="1:3" hidden="1">
      <c r="A23" s="421">
        <v>1.7</v>
      </c>
      <c r="B23" s="422" t="s">
        <v>83</v>
      </c>
      <c r="C23" s="423"/>
    </row>
    <row r="24" spans="1:3" hidden="1">
      <c r="A24" s="421">
        <v>1.8</v>
      </c>
      <c r="B24" s="422" t="s">
        <v>84</v>
      </c>
      <c r="C24" s="423"/>
    </row>
    <row r="25" spans="1:3" ht="33.6" hidden="1">
      <c r="A25" s="421">
        <v>1.9</v>
      </c>
      <c r="B25" s="422" t="s">
        <v>122</v>
      </c>
      <c r="C25" s="423"/>
    </row>
    <row r="26" spans="1:3" hidden="1">
      <c r="A26" s="448">
        <v>1.1000000000000001</v>
      </c>
      <c r="B26" s="422" t="s">
        <v>86</v>
      </c>
      <c r="C26" s="423"/>
    </row>
    <row r="27" spans="1:3">
      <c r="A27" s="449">
        <v>1.3</v>
      </c>
      <c r="B27" s="422" t="s">
        <v>66</v>
      </c>
      <c r="C27" s="423"/>
    </row>
    <row r="28" spans="1:3">
      <c r="A28" s="448"/>
      <c r="B28" s="445" t="s">
        <v>67</v>
      </c>
      <c r="C28" s="423"/>
    </row>
    <row r="29" spans="1:3">
      <c r="A29" s="448"/>
      <c r="B29" s="445" t="s">
        <v>68</v>
      </c>
      <c r="C29" s="423"/>
    </row>
    <row r="30" spans="1:3">
      <c r="A30" s="421">
        <v>2</v>
      </c>
      <c r="B30" s="422" t="s">
        <v>69</v>
      </c>
      <c r="C30" s="423"/>
    </row>
    <row r="31" spans="1:3">
      <c r="A31" s="418" t="s">
        <v>11</v>
      </c>
      <c r="B31" s="419" t="s">
        <v>23</v>
      </c>
      <c r="C31" s="420">
        <f>C33+C35+C36+C37+C38+C39+C40+C41+C42+C43+C44</f>
        <v>2176115</v>
      </c>
    </row>
    <row r="32" spans="1:3">
      <c r="A32" s="421"/>
      <c r="B32" s="445" t="s">
        <v>70</v>
      </c>
      <c r="C32" s="423"/>
    </row>
    <row r="33" spans="1:5">
      <c r="A33" s="421">
        <v>1</v>
      </c>
      <c r="B33" s="422" t="s">
        <v>64</v>
      </c>
      <c r="C33" s="423">
        <v>1191206</v>
      </c>
    </row>
    <row r="34" spans="1:5">
      <c r="A34" s="421">
        <v>2</v>
      </c>
      <c r="B34" s="422" t="s">
        <v>65</v>
      </c>
      <c r="C34" s="423">
        <v>0</v>
      </c>
    </row>
    <row r="35" spans="1:5">
      <c r="A35" s="421">
        <v>3</v>
      </c>
      <c r="B35" s="422" t="s">
        <v>79</v>
      </c>
      <c r="C35" s="423">
        <v>71225</v>
      </c>
    </row>
    <row r="36" spans="1:5">
      <c r="A36" s="421">
        <v>4</v>
      </c>
      <c r="B36" s="422" t="s">
        <v>80</v>
      </c>
      <c r="C36" s="423">
        <v>33097</v>
      </c>
      <c r="E36" s="71"/>
    </row>
    <row r="37" spans="1:5">
      <c r="A37" s="421">
        <v>5</v>
      </c>
      <c r="B37" s="422" t="s">
        <v>81</v>
      </c>
      <c r="C37" s="423">
        <v>2337</v>
      </c>
    </row>
    <row r="38" spans="1:5">
      <c r="A38" s="421">
        <v>6</v>
      </c>
      <c r="B38" s="422" t="s">
        <v>82</v>
      </c>
      <c r="C38" s="423">
        <v>2840</v>
      </c>
    </row>
    <row r="39" spans="1:5">
      <c r="A39" s="421">
        <v>7</v>
      </c>
      <c r="B39" s="422" t="s">
        <v>83</v>
      </c>
      <c r="C39" s="423">
        <v>335205</v>
      </c>
    </row>
    <row r="40" spans="1:5">
      <c r="A40" s="421">
        <v>8</v>
      </c>
      <c r="B40" s="422" t="s">
        <v>84</v>
      </c>
      <c r="C40" s="423">
        <v>221289</v>
      </c>
    </row>
    <row r="41" spans="1:5" ht="33.6">
      <c r="A41" s="421">
        <v>9</v>
      </c>
      <c r="B41" s="422" t="s">
        <v>85</v>
      </c>
      <c r="C41" s="423">
        <v>98483</v>
      </c>
    </row>
    <row r="42" spans="1:5">
      <c r="A42" s="421">
        <v>10</v>
      </c>
      <c r="B42" s="422" t="s">
        <v>86</v>
      </c>
      <c r="C42" s="423">
        <v>182724</v>
      </c>
    </row>
    <row r="43" spans="1:5">
      <c r="A43" s="421">
        <v>11</v>
      </c>
      <c r="B43" s="422" t="s">
        <v>142</v>
      </c>
      <c r="C43" s="423">
        <f>26745+9000</f>
        <v>35745</v>
      </c>
    </row>
    <row r="44" spans="1:5">
      <c r="A44" s="421">
        <v>12</v>
      </c>
      <c r="B44" s="422" t="s">
        <v>143</v>
      </c>
      <c r="C44" s="423">
        <v>1964</v>
      </c>
    </row>
    <row r="45" spans="1:5">
      <c r="A45" s="418" t="s">
        <v>15</v>
      </c>
      <c r="B45" s="419" t="s">
        <v>87</v>
      </c>
      <c r="C45" s="420">
        <v>57105</v>
      </c>
    </row>
    <row r="46" spans="1:5">
      <c r="A46" s="418" t="s">
        <v>17</v>
      </c>
      <c r="B46" s="419" t="s">
        <v>88</v>
      </c>
      <c r="C46" s="420">
        <v>0</v>
      </c>
    </row>
    <row r="47" spans="1:5">
      <c r="A47" s="418" t="s">
        <v>74</v>
      </c>
      <c r="B47" s="419" t="s">
        <v>75</v>
      </c>
      <c r="C47" s="420">
        <v>0</v>
      </c>
    </row>
    <row r="48" spans="1:5" ht="33.6">
      <c r="A48" s="418" t="s">
        <v>144</v>
      </c>
      <c r="B48" s="419" t="s">
        <v>145</v>
      </c>
      <c r="C48" s="420">
        <v>0</v>
      </c>
    </row>
  </sheetData>
  <mergeCells count="5">
    <mergeCell ref="A5:C5"/>
    <mergeCell ref="A6:C6"/>
    <mergeCell ref="A2:B2"/>
    <mergeCell ref="A3:B3"/>
    <mergeCell ref="A7:C7"/>
  </mergeCells>
  <phoneticPr fontId="5" type="noConversion"/>
  <printOptions horizontalCentered="1"/>
  <pageMargins left="0.5" right="0.5" top="0.7" bottom="0.25" header="0.3" footer="0.5"/>
  <pageSetup paperSize="9" scale="99" fitToHeight="0" orientation="portrait" r:id="rId1"/>
  <headerFooter alignWithMargins="0"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AF196"/>
  <sheetViews>
    <sheetView topLeftCell="C172" workbookViewId="0">
      <selection activeCell="L180" sqref="L180"/>
    </sheetView>
  </sheetViews>
  <sheetFormatPr defaultColWidth="9" defaultRowHeight="16.8"/>
  <cols>
    <col min="1" max="1" width="4.19921875" style="65" customWidth="1"/>
    <col min="2" max="2" width="44.8984375" style="65" customWidth="1"/>
    <col min="3" max="3" width="11.3984375" style="65" customWidth="1"/>
    <col min="4" max="4" width="0.8984375" style="65" hidden="1" customWidth="1"/>
    <col min="5" max="5" width="10.5" style="65" customWidth="1"/>
    <col min="6" max="6" width="16.19921875" style="65" customWidth="1"/>
    <col min="7" max="7" width="8.69921875" style="65" customWidth="1"/>
    <col min="8" max="8" width="8.8984375" style="65" customWidth="1"/>
    <col min="9" max="9" width="9.19921875" style="65" customWidth="1"/>
    <col min="10" max="10" width="6.69921875" style="65" customWidth="1"/>
    <col min="11" max="11" width="9" style="65" customWidth="1"/>
    <col min="12" max="12" width="9.5" style="65" customWidth="1"/>
    <col min="13" max="13" width="5.8984375" style="65" hidden="1" customWidth="1"/>
    <col min="14" max="14" width="6.69921875" style="65" hidden="1" customWidth="1"/>
    <col min="15" max="15" width="5.59765625" style="65" hidden="1" customWidth="1"/>
    <col min="16" max="16" width="5.5" style="65" hidden="1" customWidth="1"/>
    <col min="17" max="17" width="5.3984375" style="65" hidden="1" customWidth="1"/>
    <col min="18" max="18" width="6.8984375" style="65" hidden="1" customWidth="1"/>
    <col min="19" max="19" width="7" style="65" hidden="1" customWidth="1"/>
    <col min="20" max="20" width="5.59765625" style="65" hidden="1" customWidth="1"/>
    <col min="21" max="21" width="5.09765625" style="65" hidden="1" customWidth="1"/>
    <col min="22" max="22" width="6.5" style="65" hidden="1" customWidth="1"/>
    <col min="23" max="24" width="5.8984375" style="65" hidden="1" customWidth="1"/>
    <col min="25" max="25" width="6.8984375" style="65" hidden="1" customWidth="1"/>
    <col min="26" max="26" width="7.09765625" style="65" hidden="1" customWidth="1"/>
    <col min="27" max="27" width="6.19921875" style="65" hidden="1" customWidth="1"/>
    <col min="28" max="28" width="6.09765625" style="78" hidden="1" customWidth="1"/>
    <col min="29" max="29" width="0.796875" style="65" hidden="1" customWidth="1"/>
    <col min="30" max="30" width="9" style="65"/>
    <col min="31" max="31" width="12.59765625" style="65" bestFit="1" customWidth="1"/>
    <col min="32" max="32" width="10.3984375" style="65" bestFit="1" customWidth="1"/>
    <col min="33" max="16384" width="9" style="65"/>
  </cols>
  <sheetData>
    <row r="1" spans="1:32" ht="16.5" customHeight="1">
      <c r="A1" s="353" t="s">
        <v>130</v>
      </c>
      <c r="B1" s="353"/>
      <c r="C1" s="6"/>
      <c r="D1" s="6"/>
      <c r="E1" s="6"/>
      <c r="F1" s="6"/>
      <c r="G1" s="6"/>
      <c r="H1" s="6"/>
      <c r="I1" s="6"/>
      <c r="J1" s="77" t="s">
        <v>123</v>
      </c>
      <c r="K1" s="6"/>
      <c r="L1" s="6"/>
      <c r="M1" s="6"/>
      <c r="N1" s="77" t="s">
        <v>123</v>
      </c>
      <c r="O1" s="77"/>
      <c r="P1" s="77"/>
      <c r="Q1" s="6"/>
      <c r="R1" s="6"/>
      <c r="S1" s="6"/>
      <c r="T1" s="6"/>
      <c r="U1" s="6"/>
      <c r="V1" s="6"/>
      <c r="W1" s="6"/>
      <c r="X1" s="6"/>
    </row>
    <row r="2" spans="1:32" ht="16.5" customHeight="1">
      <c r="A2" s="353" t="s">
        <v>135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</row>
    <row r="3" spans="1:32"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32">
      <c r="A4" s="353" t="s">
        <v>533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6"/>
      <c r="AD4" s="6"/>
    </row>
    <row r="5" spans="1:32">
      <c r="A5" s="353" t="s">
        <v>146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6"/>
      <c r="AD5" s="6"/>
    </row>
    <row r="6" spans="1:32">
      <c r="A6" s="347" t="s">
        <v>522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</row>
    <row r="7" spans="1:3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32">
      <c r="A8" s="79"/>
      <c r="C8" s="80"/>
      <c r="F8" s="80"/>
      <c r="K8" s="81" t="s">
        <v>147</v>
      </c>
      <c r="L8" s="81"/>
      <c r="M8" s="82" t="s">
        <v>148</v>
      </c>
      <c r="U8" s="82" t="s">
        <v>148</v>
      </c>
      <c r="AC8" s="83"/>
    </row>
    <row r="9" spans="1:32" ht="33.75" customHeight="1">
      <c r="A9" s="453" t="s">
        <v>1</v>
      </c>
      <c r="B9" s="453" t="s">
        <v>89</v>
      </c>
      <c r="C9" s="454" t="s">
        <v>94</v>
      </c>
      <c r="D9" s="455" t="s">
        <v>149</v>
      </c>
      <c r="E9" s="456" t="s">
        <v>150</v>
      </c>
      <c r="F9" s="456" t="s">
        <v>151</v>
      </c>
      <c r="G9" s="453" t="s">
        <v>90</v>
      </c>
      <c r="H9" s="453" t="s">
        <v>152</v>
      </c>
      <c r="I9" s="457" t="s">
        <v>92</v>
      </c>
      <c r="J9" s="458"/>
      <c r="K9" s="459"/>
      <c r="L9" s="453" t="s">
        <v>93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  <c r="AC9" s="351" t="s">
        <v>153</v>
      </c>
    </row>
    <row r="10" spans="1:32" ht="24" customHeight="1">
      <c r="A10" s="460"/>
      <c r="B10" s="460"/>
      <c r="C10" s="461"/>
      <c r="D10" s="462" t="s">
        <v>154</v>
      </c>
      <c r="E10" s="463"/>
      <c r="F10" s="463"/>
      <c r="G10" s="460"/>
      <c r="H10" s="460"/>
      <c r="I10" s="453" t="s">
        <v>94</v>
      </c>
      <c r="J10" s="453" t="s">
        <v>95</v>
      </c>
      <c r="K10" s="453" t="s">
        <v>96</v>
      </c>
      <c r="L10" s="460"/>
      <c r="M10" s="351" t="s">
        <v>155</v>
      </c>
      <c r="N10" s="351" t="s">
        <v>156</v>
      </c>
      <c r="O10" s="351" t="s">
        <v>157</v>
      </c>
      <c r="P10" s="351" t="s">
        <v>81</v>
      </c>
      <c r="Q10" s="351" t="s">
        <v>158</v>
      </c>
      <c r="R10" s="351" t="s">
        <v>83</v>
      </c>
      <c r="S10" s="351" t="s">
        <v>84</v>
      </c>
      <c r="T10" s="359" t="s">
        <v>111</v>
      </c>
      <c r="U10" s="360"/>
      <c r="V10" s="360"/>
      <c r="W10" s="360"/>
      <c r="X10" s="361"/>
      <c r="Y10" s="351" t="s">
        <v>159</v>
      </c>
      <c r="Z10" s="356" t="s">
        <v>160</v>
      </c>
      <c r="AA10" s="356" t="s">
        <v>161</v>
      </c>
      <c r="AB10" s="356" t="s">
        <v>162</v>
      </c>
      <c r="AC10" s="355"/>
    </row>
    <row r="11" spans="1:32" ht="163.19999999999999" customHeight="1">
      <c r="A11" s="464"/>
      <c r="B11" s="464"/>
      <c r="C11" s="465"/>
      <c r="D11" s="466"/>
      <c r="E11" s="467"/>
      <c r="F11" s="467"/>
      <c r="G11" s="464"/>
      <c r="H11" s="464"/>
      <c r="I11" s="464"/>
      <c r="J11" s="464"/>
      <c r="K11" s="464"/>
      <c r="L11" s="464"/>
      <c r="M11" s="352"/>
      <c r="N11" s="352"/>
      <c r="O11" s="352"/>
      <c r="P11" s="352"/>
      <c r="Q11" s="352"/>
      <c r="R11" s="352"/>
      <c r="S11" s="352"/>
      <c r="T11" s="86" t="s">
        <v>163</v>
      </c>
      <c r="U11" s="86" t="s">
        <v>164</v>
      </c>
      <c r="V11" s="86" t="s">
        <v>165</v>
      </c>
      <c r="W11" s="86" t="s">
        <v>166</v>
      </c>
      <c r="X11" s="86" t="s">
        <v>167</v>
      </c>
      <c r="Y11" s="352"/>
      <c r="Z11" s="357"/>
      <c r="AA11" s="357"/>
      <c r="AB11" s="357"/>
      <c r="AC11" s="355"/>
    </row>
    <row r="12" spans="1:32" ht="20.399999999999999">
      <c r="A12" s="87"/>
      <c r="B12" s="88" t="s">
        <v>168</v>
      </c>
      <c r="C12" s="89">
        <f t="shared" ref="C12:L12" si="0">C13+C191+C192</f>
        <v>2845087.0870000003</v>
      </c>
      <c r="D12" s="89" t="e">
        <f t="shared" si="0"/>
        <v>#REF!</v>
      </c>
      <c r="E12" s="89">
        <f t="shared" si="0"/>
        <v>611867</v>
      </c>
      <c r="F12" s="89">
        <f t="shared" si="0"/>
        <v>2176115.0870000003</v>
      </c>
      <c r="G12" s="89">
        <f t="shared" si="0"/>
        <v>57105</v>
      </c>
      <c r="H12" s="89">
        <f t="shared" si="0"/>
        <v>0</v>
      </c>
      <c r="I12" s="89">
        <f t="shared" si="0"/>
        <v>0</v>
      </c>
      <c r="J12" s="89">
        <f t="shared" si="0"/>
        <v>0</v>
      </c>
      <c r="K12" s="89">
        <f t="shared" si="0"/>
        <v>0</v>
      </c>
      <c r="L12" s="89">
        <f t="shared" si="0"/>
        <v>0</v>
      </c>
      <c r="M12" s="89" t="e">
        <f>SUM(M14+M147+M180+#REF!)</f>
        <v>#REF!</v>
      </c>
      <c r="N12" s="89" t="e">
        <f>SUM(N14+N147+N180+#REF!)</f>
        <v>#REF!</v>
      </c>
      <c r="O12" s="89" t="e">
        <f>SUM(O14+O147+O180+#REF!)</f>
        <v>#REF!</v>
      </c>
      <c r="P12" s="89" t="e">
        <f>SUM(P14+P147+P180+#REF!)</f>
        <v>#REF!</v>
      </c>
      <c r="Q12" s="89" t="e">
        <f>SUM(Q14+Q147+Q180+#REF!)</f>
        <v>#REF!</v>
      </c>
      <c r="R12" s="89" t="e">
        <f>SUM(R14+R147+R180+#REF!)</f>
        <v>#REF!</v>
      </c>
      <c r="S12" s="89" t="e">
        <f>SUM(S14+S147+S180+#REF!)</f>
        <v>#REF!</v>
      </c>
      <c r="T12" s="89" t="e">
        <f>SUM(T14+T147+T180+#REF!)</f>
        <v>#REF!</v>
      </c>
      <c r="U12" s="89" t="e">
        <f>SUM(U14+U147+U180+#REF!)</f>
        <v>#REF!</v>
      </c>
      <c r="V12" s="89" t="e">
        <f>SUM(V14+V147+V180+#REF!)</f>
        <v>#REF!</v>
      </c>
      <c r="W12" s="89" t="e">
        <f>SUM(W14+W147+W180+#REF!)</f>
        <v>#REF!</v>
      </c>
      <c r="X12" s="89" t="e">
        <f>SUM(X14+X147+X180+#REF!)</f>
        <v>#REF!</v>
      </c>
      <c r="Y12" s="89" t="e">
        <f>SUM(Y14+Y147+Y180+#REF!)</f>
        <v>#REF!</v>
      </c>
      <c r="Z12" s="89" t="e">
        <f>SUM(Z14+Z147+Z180+#REF!)</f>
        <v>#REF!</v>
      </c>
      <c r="AA12" s="89" t="e">
        <f>SUM(AA14+AA147+AA180+#REF!)</f>
        <v>#REF!</v>
      </c>
      <c r="AB12" s="89" t="e">
        <f>SUM(AB14+AB147+AB180+#REF!)</f>
        <v>#REF!</v>
      </c>
      <c r="AC12" s="89" t="e">
        <f>SUM(AC14+AC147+AC180+#REF!)</f>
        <v>#REF!</v>
      </c>
      <c r="AD12" s="80"/>
      <c r="AF12" s="80"/>
    </row>
    <row r="13" spans="1:32" ht="20.399999999999999">
      <c r="A13" s="90" t="s">
        <v>3</v>
      </c>
      <c r="B13" s="91" t="s">
        <v>97</v>
      </c>
      <c r="C13" s="92">
        <f>E13+F13</f>
        <v>2787982.0870000003</v>
      </c>
      <c r="D13" s="92" t="e">
        <f>D14+D147+D161+D165++D180+D183</f>
        <v>#REF!</v>
      </c>
      <c r="E13" s="92">
        <v>611867</v>
      </c>
      <c r="F13" s="92">
        <f>F14+F147+F161+F165++F180+F183</f>
        <v>2176115.0870000003</v>
      </c>
      <c r="G13" s="92">
        <f>G14+G147+G161+G165++G180+G183</f>
        <v>0</v>
      </c>
      <c r="H13" s="92">
        <f>H14+H147+H180+H183</f>
        <v>0</v>
      </c>
      <c r="I13" s="92">
        <f>I14+I147+I180+I183</f>
        <v>0</v>
      </c>
      <c r="J13" s="92">
        <f>J14+J147+J180+J183</f>
        <v>0</v>
      </c>
      <c r="K13" s="92">
        <f>K14+K147+K180+K183</f>
        <v>0</v>
      </c>
      <c r="L13" s="92">
        <f>L14+L147+L180+L183</f>
        <v>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80"/>
    </row>
    <row r="14" spans="1:32" ht="20.399999999999999">
      <c r="A14" s="93"/>
      <c r="B14" s="94" t="s">
        <v>169</v>
      </c>
      <c r="C14" s="95">
        <f>F14</f>
        <v>1175205.0870000003</v>
      </c>
      <c r="D14" s="95" t="e">
        <f>SUM(D16:D143)+#REF!+#REF!</f>
        <v>#REF!</v>
      </c>
      <c r="E14" s="95"/>
      <c r="F14" s="96">
        <f>F15+F50+F105+F140+F144+F146+F145</f>
        <v>1175205.0870000003</v>
      </c>
      <c r="G14" s="97"/>
      <c r="H14" s="97"/>
      <c r="I14" s="97"/>
      <c r="J14" s="97"/>
      <c r="K14" s="97"/>
      <c r="L14" s="97"/>
      <c r="M14" s="98">
        <f t="shared" ref="M14:AB14" si="1">SUM(M16:M141)</f>
        <v>0</v>
      </c>
      <c r="N14" s="98">
        <f t="shared" si="1"/>
        <v>0</v>
      </c>
      <c r="O14" s="98">
        <f t="shared" si="1"/>
        <v>0</v>
      </c>
      <c r="P14" s="98">
        <f t="shared" si="1"/>
        <v>0</v>
      </c>
      <c r="Q14" s="98">
        <f t="shared" si="1"/>
        <v>0</v>
      </c>
      <c r="R14" s="98">
        <f t="shared" si="1"/>
        <v>0</v>
      </c>
      <c r="S14" s="98">
        <f t="shared" si="1"/>
        <v>0</v>
      </c>
      <c r="T14" s="98">
        <f t="shared" si="1"/>
        <v>0</v>
      </c>
      <c r="U14" s="98">
        <f t="shared" si="1"/>
        <v>0</v>
      </c>
      <c r="V14" s="98">
        <f t="shared" si="1"/>
        <v>0</v>
      </c>
      <c r="W14" s="98">
        <f t="shared" si="1"/>
        <v>0</v>
      </c>
      <c r="X14" s="98">
        <f t="shared" si="1"/>
        <v>0</v>
      </c>
      <c r="Y14" s="98">
        <f t="shared" si="1"/>
        <v>0</v>
      </c>
      <c r="Z14" s="99">
        <f t="shared" si="1"/>
        <v>0</v>
      </c>
      <c r="AA14" s="99">
        <f t="shared" si="1"/>
        <v>0</v>
      </c>
      <c r="AB14" s="99">
        <f t="shared" si="1"/>
        <v>0</v>
      </c>
      <c r="AC14" s="100"/>
      <c r="AD14" s="80"/>
    </row>
    <row r="15" spans="1:32" ht="20.399999999999999">
      <c r="A15" s="101" t="s">
        <v>6</v>
      </c>
      <c r="B15" s="102" t="s">
        <v>344</v>
      </c>
      <c r="C15" s="95">
        <f>SUM(C16:C49)</f>
        <v>107093.383</v>
      </c>
      <c r="D15" s="95">
        <f>SUM(D16:D49)</f>
        <v>86705.86099999999</v>
      </c>
      <c r="E15" s="95">
        <f>SUM(E16:E49)</f>
        <v>0</v>
      </c>
      <c r="F15" s="96">
        <f>SUM(F16:F49)</f>
        <v>107093.383</v>
      </c>
      <c r="G15" s="95">
        <f>SUM(G16:G49)</f>
        <v>0</v>
      </c>
      <c r="H15" s="95"/>
      <c r="I15" s="95"/>
      <c r="J15" s="95"/>
      <c r="K15" s="95"/>
      <c r="L15" s="95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4"/>
      <c r="AA15" s="104"/>
      <c r="AB15" s="104"/>
      <c r="AC15" s="105"/>
      <c r="AD15" s="80"/>
      <c r="AE15" s="80"/>
    </row>
    <row r="16" spans="1:32">
      <c r="A16" s="105">
        <v>1</v>
      </c>
      <c r="B16" s="238" t="s">
        <v>170</v>
      </c>
      <c r="C16" s="106">
        <f>F16</f>
        <v>3349.239</v>
      </c>
      <c r="D16" s="107">
        <v>2245.9209999999998</v>
      </c>
      <c r="E16" s="107"/>
      <c r="F16" s="107">
        <f>3349239000/1000000</f>
        <v>3349.239</v>
      </c>
      <c r="G16" s="107"/>
      <c r="H16" s="107"/>
      <c r="I16" s="107"/>
      <c r="J16" s="107"/>
      <c r="K16" s="107"/>
      <c r="L16" s="107"/>
      <c r="M16" s="108"/>
      <c r="N16" s="108"/>
      <c r="O16" s="108"/>
      <c r="P16" s="108"/>
      <c r="Q16" s="108"/>
      <c r="R16" s="108"/>
      <c r="S16" s="108">
        <f>SUM(T16:X16)</f>
        <v>0</v>
      </c>
      <c r="T16" s="108"/>
      <c r="U16" s="109"/>
      <c r="V16" s="109"/>
      <c r="W16" s="109"/>
      <c r="X16" s="108"/>
      <c r="Y16" s="110"/>
      <c r="Z16" s="111"/>
      <c r="AA16" s="111"/>
      <c r="AB16" s="111"/>
      <c r="AC16" s="110"/>
    </row>
    <row r="17" spans="1:29">
      <c r="A17" s="110">
        <v>2</v>
      </c>
      <c r="B17" s="238" t="s">
        <v>171</v>
      </c>
      <c r="C17" s="112">
        <f t="shared" ref="C17:C81" si="2">F17</f>
        <v>2310.0700000000002</v>
      </c>
      <c r="D17" s="113">
        <v>3026.2620000000002</v>
      </c>
      <c r="E17" s="113"/>
      <c r="F17" s="113">
        <f>2310070000/1000000</f>
        <v>2310.0700000000002</v>
      </c>
      <c r="G17" s="113"/>
      <c r="H17" s="113"/>
      <c r="I17" s="113"/>
      <c r="J17" s="113"/>
      <c r="K17" s="113"/>
      <c r="L17" s="113"/>
      <c r="M17" s="108"/>
      <c r="N17" s="108"/>
      <c r="O17" s="108"/>
      <c r="P17" s="108"/>
      <c r="Q17" s="108"/>
      <c r="R17" s="108"/>
      <c r="S17" s="109">
        <f t="shared" ref="S17:S81" si="3">SUM(T17:X17)</f>
        <v>0</v>
      </c>
      <c r="T17" s="108"/>
      <c r="U17" s="109"/>
      <c r="V17" s="109"/>
      <c r="W17" s="109"/>
      <c r="X17" s="108"/>
      <c r="Y17" s="110"/>
      <c r="Z17" s="111"/>
      <c r="AA17" s="111"/>
      <c r="AB17" s="111"/>
      <c r="AC17" s="110"/>
    </row>
    <row r="18" spans="1:29">
      <c r="A18" s="110">
        <v>3</v>
      </c>
      <c r="B18" s="238" t="s">
        <v>172</v>
      </c>
      <c r="C18" s="112">
        <f t="shared" si="2"/>
        <v>2158.25</v>
      </c>
      <c r="D18" s="113">
        <v>2921.7570000000001</v>
      </c>
      <c r="E18" s="113"/>
      <c r="F18" s="113">
        <f>2158250000/1000000</f>
        <v>2158.25</v>
      </c>
      <c r="G18" s="113"/>
      <c r="H18" s="113"/>
      <c r="I18" s="113"/>
      <c r="J18" s="113"/>
      <c r="K18" s="113"/>
      <c r="L18" s="113"/>
      <c r="M18" s="108"/>
      <c r="N18" s="108"/>
      <c r="O18" s="108"/>
      <c r="P18" s="108"/>
      <c r="Q18" s="108"/>
      <c r="R18" s="108"/>
      <c r="S18" s="109">
        <f t="shared" si="3"/>
        <v>0</v>
      </c>
      <c r="T18" s="108"/>
      <c r="U18" s="109"/>
      <c r="V18" s="109"/>
      <c r="W18" s="109"/>
      <c r="X18" s="108"/>
      <c r="Y18" s="110"/>
      <c r="Z18" s="111"/>
      <c r="AA18" s="111"/>
      <c r="AB18" s="111"/>
      <c r="AC18" s="110"/>
    </row>
    <row r="19" spans="1:29">
      <c r="A19" s="110">
        <v>4</v>
      </c>
      <c r="B19" s="238" t="s">
        <v>173</v>
      </c>
      <c r="C19" s="112">
        <f t="shared" si="2"/>
        <v>3294.2429999999999</v>
      </c>
      <c r="D19" s="113">
        <v>2994.0030000000002</v>
      </c>
      <c r="E19" s="113"/>
      <c r="F19" s="113">
        <f>3294243000/1000000</f>
        <v>3294.2429999999999</v>
      </c>
      <c r="G19" s="113"/>
      <c r="H19" s="113"/>
      <c r="I19" s="113"/>
      <c r="J19" s="113"/>
      <c r="K19" s="113"/>
      <c r="L19" s="113"/>
      <c r="M19" s="108"/>
      <c r="N19" s="108"/>
      <c r="O19" s="108"/>
      <c r="P19" s="108"/>
      <c r="Q19" s="108"/>
      <c r="R19" s="108"/>
      <c r="S19" s="109">
        <f>SUM(T19:X19)</f>
        <v>0</v>
      </c>
      <c r="T19" s="108"/>
      <c r="U19" s="109"/>
      <c r="V19" s="109"/>
      <c r="W19" s="109"/>
      <c r="X19" s="108"/>
      <c r="Y19" s="110"/>
      <c r="Z19" s="111"/>
      <c r="AA19" s="111"/>
      <c r="AB19" s="111"/>
      <c r="AC19" s="110"/>
    </row>
    <row r="20" spans="1:29">
      <c r="A20" s="110">
        <v>5</v>
      </c>
      <c r="B20" s="238" t="s">
        <v>174</v>
      </c>
      <c r="C20" s="112">
        <f t="shared" si="2"/>
        <v>2733.326</v>
      </c>
      <c r="D20" s="113">
        <v>2413.9189999999999</v>
      </c>
      <c r="E20" s="113"/>
      <c r="F20" s="113">
        <f>2733326000/1000000</f>
        <v>2733.326</v>
      </c>
      <c r="G20" s="113"/>
      <c r="H20" s="113"/>
      <c r="I20" s="113"/>
      <c r="J20" s="113"/>
      <c r="K20" s="113"/>
      <c r="L20" s="113"/>
      <c r="M20" s="108"/>
      <c r="N20" s="108"/>
      <c r="O20" s="108"/>
      <c r="P20" s="108"/>
      <c r="Q20" s="108"/>
      <c r="R20" s="108"/>
      <c r="S20" s="109">
        <f t="shared" si="3"/>
        <v>0</v>
      </c>
      <c r="T20" s="108"/>
      <c r="U20" s="109"/>
      <c r="V20" s="109"/>
      <c r="W20" s="109"/>
      <c r="X20" s="108"/>
      <c r="Y20" s="110"/>
      <c r="Z20" s="111"/>
      <c r="AA20" s="111"/>
      <c r="AB20" s="111"/>
      <c r="AC20" s="110"/>
    </row>
    <row r="21" spans="1:29">
      <c r="A21" s="110">
        <v>6</v>
      </c>
      <c r="B21" s="238" t="s">
        <v>175</v>
      </c>
      <c r="C21" s="112">
        <f t="shared" si="2"/>
        <v>2237.471</v>
      </c>
      <c r="D21" s="113">
        <v>2055.165</v>
      </c>
      <c r="E21" s="113"/>
      <c r="F21" s="113">
        <f>2237471000/1000000</f>
        <v>2237.471</v>
      </c>
      <c r="G21" s="113"/>
      <c r="H21" s="113"/>
      <c r="I21" s="113"/>
      <c r="J21" s="113"/>
      <c r="K21" s="113"/>
      <c r="L21" s="113"/>
      <c r="M21" s="108"/>
      <c r="N21" s="108"/>
      <c r="O21" s="108"/>
      <c r="P21" s="108"/>
      <c r="Q21" s="108"/>
      <c r="R21" s="108"/>
      <c r="S21" s="109">
        <f t="shared" si="3"/>
        <v>0</v>
      </c>
      <c r="T21" s="108"/>
      <c r="U21" s="109"/>
      <c r="V21" s="109"/>
      <c r="W21" s="109"/>
      <c r="X21" s="108"/>
      <c r="Y21" s="110"/>
      <c r="Z21" s="111"/>
      <c r="AA21" s="111"/>
      <c r="AB21" s="111"/>
      <c r="AC21" s="110"/>
    </row>
    <row r="22" spans="1:29">
      <c r="A22" s="110">
        <v>7</v>
      </c>
      <c r="B22" s="238" t="s">
        <v>176</v>
      </c>
      <c r="C22" s="112">
        <f t="shared" si="2"/>
        <v>1500.1130000000001</v>
      </c>
      <c r="D22" s="113">
        <v>2090.7860000000001</v>
      </c>
      <c r="E22" s="113"/>
      <c r="F22" s="113">
        <f>1500113000/1000000</f>
        <v>1500.1130000000001</v>
      </c>
      <c r="G22" s="113"/>
      <c r="H22" s="113"/>
      <c r="I22" s="113"/>
      <c r="J22" s="113"/>
      <c r="K22" s="113"/>
      <c r="L22" s="113"/>
      <c r="M22" s="108"/>
      <c r="N22" s="108"/>
      <c r="O22" s="108"/>
      <c r="P22" s="108"/>
      <c r="Q22" s="108"/>
      <c r="R22" s="108"/>
      <c r="S22" s="109">
        <f t="shared" si="3"/>
        <v>0</v>
      </c>
      <c r="T22" s="108"/>
      <c r="U22" s="109"/>
      <c r="V22" s="109"/>
      <c r="W22" s="109"/>
      <c r="X22" s="108"/>
      <c r="Y22" s="110"/>
      <c r="Z22" s="111"/>
      <c r="AA22" s="111"/>
      <c r="AB22" s="111"/>
      <c r="AC22" s="110"/>
    </row>
    <row r="23" spans="1:29">
      <c r="A23" s="110">
        <v>8</v>
      </c>
      <c r="B23" s="238" t="s">
        <v>177</v>
      </c>
      <c r="C23" s="112">
        <f t="shared" si="2"/>
        <v>4016.6880000000001</v>
      </c>
      <c r="D23" s="113">
        <v>3255.3910000000001</v>
      </c>
      <c r="E23" s="113"/>
      <c r="F23" s="113">
        <f>4016688000/1000000</f>
        <v>4016.6880000000001</v>
      </c>
      <c r="G23" s="113"/>
      <c r="H23" s="113"/>
      <c r="I23" s="113"/>
      <c r="J23" s="113"/>
      <c r="K23" s="113"/>
      <c r="L23" s="113"/>
      <c r="M23" s="108"/>
      <c r="N23" s="108"/>
      <c r="O23" s="108"/>
      <c r="P23" s="108"/>
      <c r="Q23" s="108"/>
      <c r="R23" s="108"/>
      <c r="S23" s="109">
        <f t="shared" si="3"/>
        <v>0</v>
      </c>
      <c r="T23" s="108"/>
      <c r="U23" s="109"/>
      <c r="V23" s="109"/>
      <c r="W23" s="109"/>
      <c r="X23" s="114"/>
      <c r="Y23" s="110"/>
      <c r="Z23" s="111"/>
      <c r="AA23" s="111"/>
      <c r="AB23" s="111"/>
      <c r="AC23" s="110"/>
    </row>
    <row r="24" spans="1:29">
      <c r="A24" s="110">
        <v>9</v>
      </c>
      <c r="B24" s="238" t="s">
        <v>178</v>
      </c>
      <c r="C24" s="112">
        <f t="shared" si="2"/>
        <v>3245.8339999999998</v>
      </c>
      <c r="D24" s="113">
        <v>2469.489</v>
      </c>
      <c r="E24" s="113"/>
      <c r="F24" s="113">
        <f>3245834000/1000000</f>
        <v>3245.8339999999998</v>
      </c>
      <c r="G24" s="113"/>
      <c r="H24" s="113"/>
      <c r="I24" s="113"/>
      <c r="J24" s="113"/>
      <c r="K24" s="113"/>
      <c r="L24" s="113"/>
      <c r="M24" s="108"/>
      <c r="N24" s="108"/>
      <c r="O24" s="108"/>
      <c r="P24" s="108"/>
      <c r="Q24" s="108"/>
      <c r="R24" s="108"/>
      <c r="S24" s="109">
        <f t="shared" si="3"/>
        <v>0</v>
      </c>
      <c r="T24" s="108"/>
      <c r="U24" s="109"/>
      <c r="V24" s="109"/>
      <c r="W24" s="109"/>
      <c r="X24" s="108"/>
      <c r="Y24" s="110"/>
      <c r="Z24" s="111"/>
      <c r="AA24" s="111"/>
      <c r="AB24" s="111"/>
      <c r="AC24" s="110"/>
    </row>
    <row r="25" spans="1:29">
      <c r="A25" s="110">
        <v>10</v>
      </c>
      <c r="B25" s="238" t="s">
        <v>179</v>
      </c>
      <c r="C25" s="112">
        <f t="shared" si="2"/>
        <v>2485.0630000000001</v>
      </c>
      <c r="D25" s="113">
        <v>2023.29</v>
      </c>
      <c r="E25" s="113"/>
      <c r="F25" s="113">
        <f>2485063000/1000000</f>
        <v>2485.0630000000001</v>
      </c>
      <c r="G25" s="113"/>
      <c r="H25" s="113"/>
      <c r="I25" s="113"/>
      <c r="J25" s="113"/>
      <c r="K25" s="113"/>
      <c r="L25" s="113"/>
      <c r="M25" s="108"/>
      <c r="N25" s="108"/>
      <c r="O25" s="108"/>
      <c r="P25" s="108"/>
      <c r="Q25" s="108"/>
      <c r="R25" s="108"/>
      <c r="S25" s="109">
        <f t="shared" si="3"/>
        <v>0</v>
      </c>
      <c r="T25" s="108"/>
      <c r="U25" s="109"/>
      <c r="V25" s="109"/>
      <c r="W25" s="109"/>
      <c r="X25" s="108"/>
      <c r="Y25" s="110"/>
      <c r="Z25" s="111"/>
      <c r="AA25" s="111"/>
      <c r="AB25" s="111"/>
      <c r="AC25" s="110"/>
    </row>
    <row r="26" spans="1:29">
      <c r="A26" s="110">
        <v>11</v>
      </c>
      <c r="B26" s="238" t="s">
        <v>180</v>
      </c>
      <c r="C26" s="112">
        <f t="shared" si="2"/>
        <v>3809.4450000000002</v>
      </c>
      <c r="D26" s="113">
        <v>3739.1419999999998</v>
      </c>
      <c r="E26" s="113"/>
      <c r="F26" s="113">
        <f>3809445000/1000000</f>
        <v>3809.4450000000002</v>
      </c>
      <c r="G26" s="113"/>
      <c r="H26" s="113"/>
      <c r="I26" s="113"/>
      <c r="J26" s="113"/>
      <c r="K26" s="113"/>
      <c r="L26" s="113"/>
      <c r="M26" s="108"/>
      <c r="N26" s="108"/>
      <c r="O26" s="108"/>
      <c r="P26" s="108"/>
      <c r="Q26" s="108"/>
      <c r="R26" s="108"/>
      <c r="S26" s="109">
        <f t="shared" si="3"/>
        <v>0</v>
      </c>
      <c r="T26" s="108"/>
      <c r="U26" s="109"/>
      <c r="V26" s="109"/>
      <c r="W26" s="109"/>
      <c r="X26" s="108"/>
      <c r="Y26" s="110"/>
      <c r="Z26" s="111"/>
      <c r="AA26" s="111"/>
      <c r="AB26" s="111"/>
      <c r="AC26" s="110"/>
    </row>
    <row r="27" spans="1:29">
      <c r="A27" s="110">
        <v>12</v>
      </c>
      <c r="B27" s="238" t="s">
        <v>181</v>
      </c>
      <c r="C27" s="112">
        <f t="shared" si="2"/>
        <v>3215.2109999999998</v>
      </c>
      <c r="D27" s="113">
        <v>3177.203</v>
      </c>
      <c r="E27" s="113"/>
      <c r="F27" s="113">
        <f>3215211000/1000000</f>
        <v>3215.2109999999998</v>
      </c>
      <c r="G27" s="113"/>
      <c r="H27" s="113"/>
      <c r="I27" s="113"/>
      <c r="J27" s="113"/>
      <c r="K27" s="113"/>
      <c r="L27" s="113"/>
      <c r="M27" s="108"/>
      <c r="N27" s="108"/>
      <c r="O27" s="108"/>
      <c r="P27" s="108"/>
      <c r="Q27" s="108"/>
      <c r="R27" s="108"/>
      <c r="S27" s="109">
        <f t="shared" si="3"/>
        <v>0</v>
      </c>
      <c r="T27" s="108"/>
      <c r="U27" s="109"/>
      <c r="V27" s="109"/>
      <c r="W27" s="109"/>
      <c r="X27" s="108"/>
      <c r="Y27" s="110"/>
      <c r="Z27" s="111"/>
      <c r="AA27" s="111"/>
      <c r="AB27" s="111"/>
      <c r="AC27" s="110"/>
    </row>
    <row r="28" spans="1:29">
      <c r="A28" s="110">
        <v>13</v>
      </c>
      <c r="B28" s="238" t="s">
        <v>182</v>
      </c>
      <c r="C28" s="112">
        <f t="shared" si="2"/>
        <v>3560.348</v>
      </c>
      <c r="D28" s="113">
        <v>3071.0149999999999</v>
      </c>
      <c r="E28" s="113"/>
      <c r="F28" s="113">
        <f>3560348000/1000000</f>
        <v>3560.348</v>
      </c>
      <c r="G28" s="113"/>
      <c r="H28" s="113"/>
      <c r="I28" s="113"/>
      <c r="J28" s="113"/>
      <c r="K28" s="113"/>
      <c r="L28" s="113"/>
      <c r="M28" s="108"/>
      <c r="N28" s="108"/>
      <c r="O28" s="108"/>
      <c r="P28" s="108"/>
      <c r="Q28" s="108"/>
      <c r="R28" s="108"/>
      <c r="S28" s="109">
        <f t="shared" si="3"/>
        <v>0</v>
      </c>
      <c r="T28" s="108"/>
      <c r="U28" s="109"/>
      <c r="V28" s="109"/>
      <c r="W28" s="109"/>
      <c r="X28" s="108"/>
      <c r="Y28" s="110"/>
      <c r="Z28" s="111"/>
      <c r="AA28" s="111"/>
      <c r="AB28" s="111"/>
      <c r="AC28" s="110"/>
    </row>
    <row r="29" spans="1:29">
      <c r="A29" s="110">
        <v>14</v>
      </c>
      <c r="B29" s="238" t="s">
        <v>183</v>
      </c>
      <c r="C29" s="112">
        <f t="shared" si="2"/>
        <v>2453.4290000000001</v>
      </c>
      <c r="D29" s="113">
        <v>2228.288</v>
      </c>
      <c r="E29" s="113"/>
      <c r="F29" s="113">
        <f>2453429000/1000000</f>
        <v>2453.4290000000001</v>
      </c>
      <c r="G29" s="113"/>
      <c r="H29" s="113"/>
      <c r="I29" s="113"/>
      <c r="J29" s="113"/>
      <c r="K29" s="113"/>
      <c r="L29" s="113"/>
      <c r="M29" s="108"/>
      <c r="N29" s="108"/>
      <c r="O29" s="108"/>
      <c r="P29" s="108"/>
      <c r="Q29" s="108"/>
      <c r="R29" s="108"/>
      <c r="S29" s="109">
        <f t="shared" si="3"/>
        <v>0</v>
      </c>
      <c r="T29" s="108"/>
      <c r="U29" s="109"/>
      <c r="V29" s="109"/>
      <c r="W29" s="109"/>
      <c r="X29" s="108"/>
      <c r="Y29" s="110"/>
      <c r="Z29" s="111"/>
      <c r="AA29" s="111"/>
      <c r="AB29" s="111"/>
      <c r="AC29" s="110"/>
    </row>
    <row r="30" spans="1:29">
      <c r="A30" s="110">
        <v>15</v>
      </c>
      <c r="B30" s="238" t="s">
        <v>184</v>
      </c>
      <c r="C30" s="112">
        <f t="shared" si="2"/>
        <v>4135.0910000000003</v>
      </c>
      <c r="D30" s="113">
        <v>2882.9639999999999</v>
      </c>
      <c r="E30" s="113"/>
      <c r="F30" s="113">
        <f>4135091000/1000000</f>
        <v>4135.0910000000003</v>
      </c>
      <c r="G30" s="113"/>
      <c r="H30" s="113"/>
      <c r="I30" s="113"/>
      <c r="J30" s="113"/>
      <c r="K30" s="113"/>
      <c r="L30" s="113"/>
      <c r="M30" s="108"/>
      <c r="N30" s="108"/>
      <c r="O30" s="108"/>
      <c r="P30" s="108"/>
      <c r="Q30" s="108"/>
      <c r="R30" s="108"/>
      <c r="S30" s="109">
        <f t="shared" si="3"/>
        <v>0</v>
      </c>
      <c r="T30" s="108"/>
      <c r="U30" s="109"/>
      <c r="V30" s="109"/>
      <c r="W30" s="109"/>
      <c r="X30" s="108"/>
      <c r="Y30" s="110"/>
      <c r="Z30" s="111"/>
      <c r="AA30" s="111"/>
      <c r="AB30" s="111"/>
      <c r="AC30" s="110"/>
    </row>
    <row r="31" spans="1:29">
      <c r="A31" s="110">
        <v>16</v>
      </c>
      <c r="B31" s="238" t="s">
        <v>185</v>
      </c>
      <c r="C31" s="112">
        <f t="shared" si="2"/>
        <v>4603.3029999999999</v>
      </c>
      <c r="D31" s="113">
        <v>3753.453</v>
      </c>
      <c r="E31" s="113"/>
      <c r="F31" s="113">
        <f>4603303000/1000000</f>
        <v>4603.3029999999999</v>
      </c>
      <c r="G31" s="113"/>
      <c r="H31" s="113"/>
      <c r="I31" s="113"/>
      <c r="J31" s="113"/>
      <c r="K31" s="113"/>
      <c r="L31" s="113"/>
      <c r="M31" s="108"/>
      <c r="N31" s="108"/>
      <c r="O31" s="108"/>
      <c r="P31" s="108"/>
      <c r="Q31" s="108"/>
      <c r="R31" s="108"/>
      <c r="S31" s="109">
        <f t="shared" si="3"/>
        <v>0</v>
      </c>
      <c r="T31" s="108"/>
      <c r="U31" s="109"/>
      <c r="V31" s="109"/>
      <c r="W31" s="109"/>
      <c r="X31" s="108"/>
      <c r="Y31" s="110"/>
      <c r="Z31" s="111"/>
      <c r="AA31" s="111"/>
      <c r="AB31" s="111"/>
      <c r="AC31" s="110"/>
    </row>
    <row r="32" spans="1:29">
      <c r="A32" s="110">
        <v>17</v>
      </c>
      <c r="B32" s="238" t="s">
        <v>186</v>
      </c>
      <c r="C32" s="112">
        <f t="shared" si="2"/>
        <v>2307.096</v>
      </c>
      <c r="D32" s="113">
        <v>1884.2380000000001</v>
      </c>
      <c r="E32" s="113"/>
      <c r="F32" s="113">
        <f>2307096000/1000000</f>
        <v>2307.096</v>
      </c>
      <c r="G32" s="113"/>
      <c r="H32" s="113"/>
      <c r="I32" s="113"/>
      <c r="J32" s="113"/>
      <c r="K32" s="113"/>
      <c r="L32" s="113"/>
      <c r="M32" s="108"/>
      <c r="N32" s="108"/>
      <c r="O32" s="108"/>
      <c r="P32" s="108"/>
      <c r="Q32" s="108"/>
      <c r="R32" s="108"/>
      <c r="S32" s="109">
        <f t="shared" si="3"/>
        <v>0</v>
      </c>
      <c r="T32" s="108"/>
      <c r="U32" s="109"/>
      <c r="V32" s="109"/>
      <c r="W32" s="109"/>
      <c r="X32" s="108"/>
      <c r="Y32" s="110"/>
      <c r="Z32" s="111"/>
      <c r="AA32" s="111"/>
      <c r="AB32" s="111"/>
      <c r="AC32" s="110"/>
    </row>
    <row r="33" spans="1:29">
      <c r="A33" s="110">
        <v>18</v>
      </c>
      <c r="B33" s="238" t="s">
        <v>187</v>
      </c>
      <c r="C33" s="112">
        <f t="shared" si="2"/>
        <v>1938.771</v>
      </c>
      <c r="D33" s="113">
        <v>2057.5140000000001</v>
      </c>
      <c r="E33" s="113"/>
      <c r="F33" s="113">
        <f>1938771000/1000000</f>
        <v>1938.771</v>
      </c>
      <c r="G33" s="113"/>
      <c r="H33" s="113"/>
      <c r="I33" s="113"/>
      <c r="J33" s="113"/>
      <c r="K33" s="113"/>
      <c r="L33" s="113"/>
      <c r="M33" s="108"/>
      <c r="N33" s="108"/>
      <c r="O33" s="108"/>
      <c r="P33" s="108"/>
      <c r="Q33" s="108"/>
      <c r="R33" s="108"/>
      <c r="S33" s="109">
        <f t="shared" si="3"/>
        <v>0</v>
      </c>
      <c r="T33" s="108"/>
      <c r="U33" s="109"/>
      <c r="V33" s="109"/>
      <c r="W33" s="109"/>
      <c r="X33" s="108"/>
      <c r="Y33" s="110"/>
      <c r="Z33" s="111"/>
      <c r="AA33" s="111"/>
      <c r="AB33" s="111"/>
      <c r="AC33" s="110"/>
    </row>
    <row r="34" spans="1:29">
      <c r="A34" s="110">
        <v>19</v>
      </c>
      <c r="B34" s="238" t="s">
        <v>188</v>
      </c>
      <c r="C34" s="112">
        <f t="shared" si="2"/>
        <v>2372.511</v>
      </c>
      <c r="D34" s="113">
        <v>2158.817</v>
      </c>
      <c r="E34" s="113"/>
      <c r="F34" s="113">
        <f>2372511000/1000000</f>
        <v>2372.511</v>
      </c>
      <c r="G34" s="113"/>
      <c r="H34" s="113"/>
      <c r="I34" s="113"/>
      <c r="J34" s="113"/>
      <c r="K34" s="113"/>
      <c r="L34" s="113"/>
      <c r="M34" s="108"/>
      <c r="N34" s="108"/>
      <c r="O34" s="108"/>
      <c r="P34" s="108"/>
      <c r="Q34" s="108"/>
      <c r="R34" s="108"/>
      <c r="S34" s="109">
        <f t="shared" si="3"/>
        <v>0</v>
      </c>
      <c r="T34" s="108"/>
      <c r="U34" s="109"/>
      <c r="V34" s="109"/>
      <c r="W34" s="109"/>
      <c r="X34" s="108"/>
      <c r="Y34" s="110"/>
      <c r="Z34" s="111"/>
      <c r="AA34" s="111"/>
      <c r="AB34" s="111"/>
      <c r="AC34" s="110"/>
    </row>
    <row r="35" spans="1:29">
      <c r="A35" s="110">
        <v>20</v>
      </c>
      <c r="B35" s="238" t="s">
        <v>189</v>
      </c>
      <c r="C35" s="112">
        <f t="shared" si="2"/>
        <v>2481.4940000000001</v>
      </c>
      <c r="D35" s="113">
        <v>2025.838</v>
      </c>
      <c r="E35" s="113"/>
      <c r="F35" s="113">
        <f>2481494000/1000000</f>
        <v>2481.4940000000001</v>
      </c>
      <c r="G35" s="113"/>
      <c r="H35" s="113"/>
      <c r="I35" s="113"/>
      <c r="J35" s="113"/>
      <c r="K35" s="113"/>
      <c r="L35" s="113"/>
      <c r="M35" s="108"/>
      <c r="N35" s="108"/>
      <c r="O35" s="108"/>
      <c r="P35" s="108"/>
      <c r="Q35" s="108"/>
      <c r="R35" s="108"/>
      <c r="S35" s="109">
        <f t="shared" si="3"/>
        <v>0</v>
      </c>
      <c r="T35" s="108"/>
      <c r="U35" s="109"/>
      <c r="V35" s="109"/>
      <c r="W35" s="109"/>
      <c r="X35" s="108"/>
      <c r="Y35" s="110"/>
      <c r="Z35" s="111"/>
      <c r="AA35" s="111"/>
      <c r="AB35" s="111"/>
      <c r="AC35" s="110"/>
    </row>
    <row r="36" spans="1:29">
      <c r="A36" s="110">
        <v>21</v>
      </c>
      <c r="B36" s="238" t="s">
        <v>190</v>
      </c>
      <c r="C36" s="112">
        <f t="shared" si="2"/>
        <v>3656.4769999999999</v>
      </c>
      <c r="D36" s="113">
        <v>3406.232</v>
      </c>
      <c r="E36" s="113"/>
      <c r="F36" s="113">
        <f>3656477000/1000000</f>
        <v>3656.4769999999999</v>
      </c>
      <c r="G36" s="113"/>
      <c r="H36" s="113"/>
      <c r="I36" s="113"/>
      <c r="J36" s="113"/>
      <c r="K36" s="113"/>
      <c r="L36" s="113"/>
      <c r="M36" s="108"/>
      <c r="N36" s="108"/>
      <c r="O36" s="108"/>
      <c r="P36" s="108"/>
      <c r="Q36" s="108"/>
      <c r="R36" s="108"/>
      <c r="S36" s="109">
        <f t="shared" si="3"/>
        <v>0</v>
      </c>
      <c r="T36" s="108"/>
      <c r="U36" s="109"/>
      <c r="V36" s="109"/>
      <c r="W36" s="109"/>
      <c r="X36" s="108"/>
      <c r="Y36" s="110"/>
      <c r="Z36" s="111"/>
      <c r="AA36" s="111"/>
      <c r="AB36" s="111"/>
      <c r="AC36" s="110"/>
    </row>
    <row r="37" spans="1:29">
      <c r="A37" s="110">
        <v>22</v>
      </c>
      <c r="B37" s="238" t="s">
        <v>191</v>
      </c>
      <c r="C37" s="112">
        <f t="shared" si="2"/>
        <v>2330.422</v>
      </c>
      <c r="D37" s="113">
        <v>2448.4520000000002</v>
      </c>
      <c r="E37" s="113"/>
      <c r="F37" s="113">
        <f>2330422000/1000000</f>
        <v>2330.422</v>
      </c>
      <c r="G37" s="113"/>
      <c r="H37" s="113"/>
      <c r="I37" s="113"/>
      <c r="J37" s="113"/>
      <c r="K37" s="113"/>
      <c r="L37" s="113"/>
      <c r="M37" s="108"/>
      <c r="N37" s="108"/>
      <c r="O37" s="108"/>
      <c r="P37" s="108"/>
      <c r="Q37" s="108"/>
      <c r="R37" s="108"/>
      <c r="S37" s="109">
        <f t="shared" si="3"/>
        <v>0</v>
      </c>
      <c r="T37" s="108"/>
      <c r="U37" s="109"/>
      <c r="V37" s="109"/>
      <c r="W37" s="109"/>
      <c r="X37" s="108"/>
      <c r="Y37" s="110"/>
      <c r="Z37" s="111"/>
      <c r="AA37" s="111"/>
      <c r="AB37" s="111"/>
      <c r="AC37" s="110"/>
    </row>
    <row r="38" spans="1:29">
      <c r="A38" s="110">
        <v>23</v>
      </c>
      <c r="B38" s="238" t="s">
        <v>192</v>
      </c>
      <c r="C38" s="112">
        <f t="shared" si="2"/>
        <v>6476.1180000000004</v>
      </c>
      <c r="D38" s="113">
        <v>4623.1989999999996</v>
      </c>
      <c r="E38" s="113"/>
      <c r="F38" s="113">
        <f>6476118000/1000000</f>
        <v>6476.1180000000004</v>
      </c>
      <c r="G38" s="113"/>
      <c r="H38" s="113"/>
      <c r="I38" s="113"/>
      <c r="J38" s="113"/>
      <c r="K38" s="113"/>
      <c r="L38" s="113"/>
      <c r="M38" s="108"/>
      <c r="N38" s="108"/>
      <c r="O38" s="108"/>
      <c r="P38" s="108"/>
      <c r="Q38" s="108"/>
      <c r="R38" s="108"/>
      <c r="S38" s="109">
        <f t="shared" si="3"/>
        <v>0</v>
      </c>
      <c r="T38" s="108"/>
      <c r="U38" s="109"/>
      <c r="V38" s="109"/>
      <c r="W38" s="109"/>
      <c r="X38" s="108"/>
      <c r="Y38" s="110"/>
      <c r="Z38" s="111"/>
      <c r="AA38" s="111"/>
      <c r="AB38" s="111"/>
      <c r="AC38" s="110"/>
    </row>
    <row r="39" spans="1:29">
      <c r="A39" s="110">
        <v>24</v>
      </c>
      <c r="B39" s="238" t="s">
        <v>193</v>
      </c>
      <c r="C39" s="112">
        <f t="shared" si="2"/>
        <v>3436.9470000000001</v>
      </c>
      <c r="D39" s="113">
        <v>2133.364</v>
      </c>
      <c r="E39" s="113"/>
      <c r="F39" s="113">
        <f>3436947000/1000000</f>
        <v>3436.9470000000001</v>
      </c>
      <c r="G39" s="113"/>
      <c r="H39" s="113"/>
      <c r="I39" s="113"/>
      <c r="J39" s="113"/>
      <c r="K39" s="113"/>
      <c r="L39" s="113"/>
      <c r="M39" s="108"/>
      <c r="N39" s="108"/>
      <c r="O39" s="108"/>
      <c r="P39" s="108"/>
      <c r="Q39" s="108"/>
      <c r="R39" s="108"/>
      <c r="S39" s="109">
        <f t="shared" si="3"/>
        <v>0</v>
      </c>
      <c r="T39" s="108"/>
      <c r="U39" s="109"/>
      <c r="V39" s="109"/>
      <c r="W39" s="109"/>
      <c r="X39" s="108"/>
      <c r="Y39" s="110"/>
      <c r="Z39" s="111"/>
      <c r="AA39" s="111"/>
      <c r="AB39" s="111"/>
      <c r="AC39" s="110"/>
    </row>
    <row r="40" spans="1:29">
      <c r="A40" s="110">
        <v>25</v>
      </c>
      <c r="B40" s="238" t="s">
        <v>194</v>
      </c>
      <c r="C40" s="112">
        <f t="shared" si="2"/>
        <v>6364.259</v>
      </c>
      <c r="D40" s="113">
        <v>5090.7640000000001</v>
      </c>
      <c r="E40" s="113"/>
      <c r="F40" s="113">
        <f>6364259000/1000000</f>
        <v>6364.259</v>
      </c>
      <c r="G40" s="113"/>
      <c r="H40" s="113"/>
      <c r="I40" s="113"/>
      <c r="J40" s="113"/>
      <c r="K40" s="113"/>
      <c r="L40" s="113"/>
      <c r="M40" s="108"/>
      <c r="N40" s="108"/>
      <c r="O40" s="108"/>
      <c r="P40" s="108"/>
      <c r="Q40" s="108"/>
      <c r="R40" s="108"/>
      <c r="S40" s="109">
        <f t="shared" si="3"/>
        <v>0</v>
      </c>
      <c r="T40" s="108"/>
      <c r="U40" s="109"/>
      <c r="V40" s="109"/>
      <c r="W40" s="109"/>
      <c r="X40" s="108"/>
      <c r="Y40" s="110"/>
      <c r="Z40" s="111"/>
      <c r="AA40" s="111"/>
      <c r="AB40" s="111"/>
      <c r="AC40" s="110"/>
    </row>
    <row r="41" spans="1:29">
      <c r="A41" s="110">
        <v>26</v>
      </c>
      <c r="B41" s="238" t="s">
        <v>195</v>
      </c>
      <c r="C41" s="112">
        <f t="shared" si="2"/>
        <v>2602.9859999999999</v>
      </c>
      <c r="D41" s="113">
        <v>2357.65</v>
      </c>
      <c r="E41" s="113"/>
      <c r="F41" s="113">
        <f>2602986000/1000000</f>
        <v>2602.9859999999999</v>
      </c>
      <c r="G41" s="113"/>
      <c r="H41" s="113"/>
      <c r="I41" s="113"/>
      <c r="J41" s="113"/>
      <c r="K41" s="113"/>
      <c r="L41" s="113"/>
      <c r="M41" s="108"/>
      <c r="N41" s="108"/>
      <c r="O41" s="108"/>
      <c r="P41" s="108"/>
      <c r="Q41" s="108"/>
      <c r="R41" s="108"/>
      <c r="S41" s="109">
        <f t="shared" si="3"/>
        <v>0</v>
      </c>
      <c r="T41" s="108"/>
      <c r="U41" s="109"/>
      <c r="V41" s="109"/>
      <c r="W41" s="109"/>
      <c r="X41" s="108"/>
      <c r="Y41" s="110"/>
      <c r="Z41" s="111"/>
      <c r="AA41" s="111"/>
      <c r="AB41" s="111"/>
      <c r="AC41" s="110"/>
    </row>
    <row r="42" spans="1:29">
      <c r="A42" s="110">
        <v>27</v>
      </c>
      <c r="B42" s="238" t="s">
        <v>196</v>
      </c>
      <c r="C42" s="112">
        <f t="shared" si="2"/>
        <v>4024.7339999999999</v>
      </c>
      <c r="D42" s="113">
        <v>4356.7219999999998</v>
      </c>
      <c r="E42" s="113"/>
      <c r="F42" s="113">
        <f>4024734000/1000000</f>
        <v>4024.7339999999999</v>
      </c>
      <c r="G42" s="113"/>
      <c r="H42" s="113"/>
      <c r="I42" s="113"/>
      <c r="J42" s="113"/>
      <c r="K42" s="113"/>
      <c r="L42" s="113"/>
      <c r="M42" s="108"/>
      <c r="N42" s="108"/>
      <c r="O42" s="108"/>
      <c r="P42" s="108"/>
      <c r="Q42" s="108"/>
      <c r="R42" s="108"/>
      <c r="S42" s="109">
        <f t="shared" si="3"/>
        <v>0</v>
      </c>
      <c r="T42" s="108"/>
      <c r="U42" s="109"/>
      <c r="V42" s="109"/>
      <c r="W42" s="109"/>
      <c r="X42" s="108"/>
      <c r="Y42" s="110"/>
      <c r="Z42" s="111"/>
      <c r="AA42" s="111"/>
      <c r="AB42" s="111"/>
      <c r="AC42" s="110"/>
    </row>
    <row r="43" spans="1:29">
      <c r="A43" s="110">
        <v>28</v>
      </c>
      <c r="B43" s="238" t="s">
        <v>197</v>
      </c>
      <c r="C43" s="112">
        <f t="shared" si="2"/>
        <v>2012.0329999999999</v>
      </c>
      <c r="D43" s="113">
        <v>1349.7260000000001</v>
      </c>
      <c r="E43" s="113"/>
      <c r="F43" s="113">
        <f>2012033000/1000000</f>
        <v>2012.0329999999999</v>
      </c>
      <c r="G43" s="113"/>
      <c r="H43" s="113"/>
      <c r="I43" s="113"/>
      <c r="J43" s="113"/>
      <c r="K43" s="113"/>
      <c r="L43" s="113"/>
      <c r="M43" s="108"/>
      <c r="N43" s="108"/>
      <c r="O43" s="108"/>
      <c r="P43" s="108"/>
      <c r="Q43" s="108"/>
      <c r="R43" s="108"/>
      <c r="S43" s="109">
        <f t="shared" si="3"/>
        <v>0</v>
      </c>
      <c r="T43" s="108"/>
      <c r="U43" s="109"/>
      <c r="V43" s="109"/>
      <c r="W43" s="109"/>
      <c r="X43" s="108"/>
      <c r="Y43" s="110"/>
      <c r="Z43" s="111"/>
      <c r="AA43" s="111"/>
      <c r="AB43" s="111"/>
      <c r="AC43" s="110"/>
    </row>
    <row r="44" spans="1:29">
      <c r="A44" s="110">
        <v>29</v>
      </c>
      <c r="B44" s="238" t="s">
        <v>198</v>
      </c>
      <c r="C44" s="112">
        <f t="shared" si="2"/>
        <v>4152.67</v>
      </c>
      <c r="D44" s="113">
        <v>2422.4160000000002</v>
      </c>
      <c r="E44" s="113"/>
      <c r="F44" s="113">
        <f>4152670000/1000000</f>
        <v>4152.67</v>
      </c>
      <c r="G44" s="113"/>
      <c r="H44" s="113"/>
      <c r="I44" s="113"/>
      <c r="J44" s="113"/>
      <c r="K44" s="113"/>
      <c r="L44" s="113"/>
      <c r="M44" s="108"/>
      <c r="N44" s="108"/>
      <c r="O44" s="108"/>
      <c r="P44" s="108"/>
      <c r="Q44" s="108"/>
      <c r="R44" s="108"/>
      <c r="S44" s="109">
        <f t="shared" si="3"/>
        <v>0</v>
      </c>
      <c r="T44" s="108"/>
      <c r="U44" s="109"/>
      <c r="V44" s="109"/>
      <c r="W44" s="109"/>
      <c r="X44" s="108"/>
      <c r="Y44" s="110"/>
      <c r="Z44" s="111"/>
      <c r="AA44" s="111"/>
      <c r="AB44" s="111"/>
      <c r="AC44" s="110"/>
    </row>
    <row r="45" spans="1:29">
      <c r="A45" s="110">
        <v>30</v>
      </c>
      <c r="B45" s="238" t="s">
        <v>199</v>
      </c>
      <c r="C45" s="112">
        <f t="shared" si="2"/>
        <v>2623.75</v>
      </c>
      <c r="D45" s="113">
        <v>1489.93</v>
      </c>
      <c r="E45" s="113"/>
      <c r="F45" s="113">
        <f>2623750000/1000000</f>
        <v>2623.75</v>
      </c>
      <c r="G45" s="113"/>
      <c r="H45" s="113"/>
      <c r="I45" s="113"/>
      <c r="J45" s="113"/>
      <c r="K45" s="113"/>
      <c r="L45" s="113"/>
      <c r="M45" s="108"/>
      <c r="N45" s="108"/>
      <c r="O45" s="108"/>
      <c r="P45" s="108"/>
      <c r="Q45" s="108"/>
      <c r="R45" s="108"/>
      <c r="S45" s="109">
        <f t="shared" si="3"/>
        <v>0</v>
      </c>
      <c r="T45" s="108"/>
      <c r="U45" s="109"/>
      <c r="V45" s="109"/>
      <c r="W45" s="109"/>
      <c r="X45" s="108"/>
      <c r="Y45" s="110"/>
      <c r="Z45" s="111"/>
      <c r="AA45" s="111"/>
      <c r="AB45" s="111"/>
      <c r="AC45" s="110"/>
    </row>
    <row r="46" spans="1:29">
      <c r="A46" s="110">
        <v>31</v>
      </c>
      <c r="B46" s="238" t="s">
        <v>200</v>
      </c>
      <c r="C46" s="112">
        <f t="shared" si="2"/>
        <v>2635.2249999999999</v>
      </c>
      <c r="D46" s="113">
        <v>1645.271</v>
      </c>
      <c r="E46" s="113"/>
      <c r="F46" s="113">
        <f>2635225000/1000000</f>
        <v>2635.2249999999999</v>
      </c>
      <c r="G46" s="113"/>
      <c r="H46" s="113"/>
      <c r="I46" s="113"/>
      <c r="J46" s="113"/>
      <c r="K46" s="113"/>
      <c r="L46" s="113"/>
      <c r="M46" s="108"/>
      <c r="N46" s="108"/>
      <c r="O46" s="108"/>
      <c r="P46" s="108"/>
      <c r="Q46" s="108"/>
      <c r="R46" s="108"/>
      <c r="S46" s="109">
        <f t="shared" si="3"/>
        <v>0</v>
      </c>
      <c r="T46" s="108"/>
      <c r="U46" s="109"/>
      <c r="V46" s="109"/>
      <c r="W46" s="109"/>
      <c r="X46" s="108"/>
      <c r="Y46" s="110"/>
      <c r="Z46" s="111"/>
      <c r="AA46" s="111"/>
      <c r="AB46" s="111"/>
      <c r="AC46" s="110"/>
    </row>
    <row r="47" spans="1:29">
      <c r="A47" s="110">
        <v>32</v>
      </c>
      <c r="B47" s="238" t="s">
        <v>202</v>
      </c>
      <c r="C47" s="112">
        <f t="shared" si="2"/>
        <v>2360.0859999999998</v>
      </c>
      <c r="D47" s="113">
        <v>1321.1980000000001</v>
      </c>
      <c r="E47" s="113"/>
      <c r="F47" s="113">
        <f>2360086000/1000000</f>
        <v>2360.0859999999998</v>
      </c>
      <c r="G47" s="113"/>
      <c r="H47" s="113"/>
      <c r="I47" s="113"/>
      <c r="J47" s="113"/>
      <c r="K47" s="113"/>
      <c r="L47" s="113"/>
      <c r="M47" s="108"/>
      <c r="N47" s="108"/>
      <c r="O47" s="108"/>
      <c r="P47" s="108"/>
      <c r="Q47" s="108"/>
      <c r="R47" s="108"/>
      <c r="S47" s="109">
        <f t="shared" si="3"/>
        <v>0</v>
      </c>
      <c r="T47" s="108"/>
      <c r="U47" s="109"/>
      <c r="V47" s="109"/>
      <c r="W47" s="109"/>
      <c r="X47" s="108"/>
      <c r="Y47" s="110"/>
      <c r="Z47" s="111"/>
      <c r="AA47" s="111"/>
      <c r="AB47" s="111"/>
      <c r="AC47" s="110"/>
    </row>
    <row r="48" spans="1:29">
      <c r="A48" s="110">
        <v>33</v>
      </c>
      <c r="B48" s="238" t="s">
        <v>201</v>
      </c>
      <c r="C48" s="112">
        <f t="shared" si="2"/>
        <v>2895.8609999999999</v>
      </c>
      <c r="D48" s="113">
        <v>1586.482</v>
      </c>
      <c r="E48" s="113"/>
      <c r="F48" s="113">
        <f>2895861000/1000000</f>
        <v>2895.8609999999999</v>
      </c>
      <c r="G48" s="113"/>
      <c r="H48" s="113"/>
      <c r="I48" s="113"/>
      <c r="J48" s="113"/>
      <c r="K48" s="113"/>
      <c r="L48" s="113"/>
      <c r="M48" s="108"/>
      <c r="N48" s="108"/>
      <c r="O48" s="108"/>
      <c r="P48" s="108"/>
      <c r="Q48" s="108"/>
      <c r="R48" s="108"/>
      <c r="S48" s="109">
        <f>SUM(T48:X48)</f>
        <v>0</v>
      </c>
      <c r="T48" s="108"/>
      <c r="U48" s="109"/>
      <c r="V48" s="109"/>
      <c r="W48" s="109"/>
      <c r="X48" s="108"/>
      <c r="Y48" s="110"/>
      <c r="Z48" s="111"/>
      <c r="AA48" s="111"/>
      <c r="AB48" s="111"/>
      <c r="AC48" s="110"/>
    </row>
    <row r="49" spans="1:29">
      <c r="A49" s="115">
        <v>34</v>
      </c>
      <c r="B49" s="238" t="s">
        <v>394</v>
      </c>
      <c r="C49" s="112">
        <f t="shared" si="2"/>
        <v>3314.819</v>
      </c>
      <c r="D49" s="116"/>
      <c r="E49" s="116"/>
      <c r="F49" s="116">
        <f>3314819000/1000000</f>
        <v>3314.819</v>
      </c>
      <c r="G49" s="116"/>
      <c r="H49" s="116"/>
      <c r="I49" s="116"/>
      <c r="J49" s="116"/>
      <c r="K49" s="116"/>
      <c r="L49" s="116"/>
      <c r="M49" s="108"/>
      <c r="N49" s="108"/>
      <c r="O49" s="108"/>
      <c r="P49" s="108"/>
      <c r="Q49" s="108"/>
      <c r="R49" s="108"/>
      <c r="S49" s="109"/>
      <c r="T49" s="108"/>
      <c r="U49" s="109"/>
      <c r="V49" s="109"/>
      <c r="W49" s="109"/>
      <c r="X49" s="108"/>
      <c r="Y49" s="110"/>
      <c r="Z49" s="111"/>
      <c r="AA49" s="111"/>
      <c r="AB49" s="111"/>
      <c r="AC49" s="110"/>
    </row>
    <row r="50" spans="1:29" ht="20.399999999999999">
      <c r="A50" s="101" t="s">
        <v>11</v>
      </c>
      <c r="B50" s="102" t="s">
        <v>345</v>
      </c>
      <c r="C50" s="95">
        <f>SUM(C51:C104)</f>
        <v>589852.13800000015</v>
      </c>
      <c r="D50" s="95"/>
      <c r="E50" s="95"/>
      <c r="F50" s="95">
        <f>SUM(F51:F104)</f>
        <v>589852.13800000015</v>
      </c>
      <c r="G50" s="95"/>
      <c r="H50" s="95"/>
      <c r="I50" s="95"/>
      <c r="J50" s="95"/>
      <c r="K50" s="95"/>
      <c r="L50" s="95"/>
      <c r="M50" s="108"/>
      <c r="N50" s="108"/>
      <c r="O50" s="108"/>
      <c r="P50" s="108"/>
      <c r="Q50" s="108"/>
      <c r="R50" s="108"/>
      <c r="S50" s="109"/>
      <c r="T50" s="108"/>
      <c r="U50" s="109"/>
      <c r="V50" s="109"/>
      <c r="W50" s="109"/>
      <c r="X50" s="108"/>
      <c r="Y50" s="110"/>
      <c r="Z50" s="111"/>
      <c r="AA50" s="111"/>
      <c r="AB50" s="111"/>
      <c r="AC50" s="110"/>
    </row>
    <row r="51" spans="1:29">
      <c r="A51" s="110">
        <v>1</v>
      </c>
      <c r="B51" s="238" t="s">
        <v>203</v>
      </c>
      <c r="C51" s="112">
        <f t="shared" si="2"/>
        <v>11485.77</v>
      </c>
      <c r="D51" s="113">
        <v>8069.8459999999995</v>
      </c>
      <c r="E51" s="113"/>
      <c r="F51" s="113">
        <f>11485770000/1000000</f>
        <v>11485.77</v>
      </c>
      <c r="G51" s="113"/>
      <c r="H51" s="113"/>
      <c r="I51" s="113"/>
      <c r="J51" s="113"/>
      <c r="K51" s="113"/>
      <c r="L51" s="113"/>
      <c r="M51" s="108"/>
      <c r="N51" s="108"/>
      <c r="O51" s="108"/>
      <c r="P51" s="108"/>
      <c r="Q51" s="108"/>
      <c r="R51" s="108"/>
      <c r="S51" s="109">
        <f t="shared" si="3"/>
        <v>0</v>
      </c>
      <c r="T51" s="108"/>
      <c r="U51" s="109"/>
      <c r="V51" s="109"/>
      <c r="W51" s="109"/>
      <c r="X51" s="108"/>
      <c r="Y51" s="110"/>
      <c r="Z51" s="111"/>
      <c r="AA51" s="111"/>
      <c r="AB51" s="111"/>
      <c r="AC51" s="110"/>
    </row>
    <row r="52" spans="1:29">
      <c r="A52" s="110">
        <v>2</v>
      </c>
      <c r="B52" s="238" t="s">
        <v>204</v>
      </c>
      <c r="C52" s="112">
        <f t="shared" si="2"/>
        <v>8037.0150000000003</v>
      </c>
      <c r="D52" s="113">
        <v>5556.9930000000004</v>
      </c>
      <c r="E52" s="113"/>
      <c r="F52" s="113">
        <f>8037015000/1000000</f>
        <v>8037.0150000000003</v>
      </c>
      <c r="G52" s="113"/>
      <c r="H52" s="113"/>
      <c r="I52" s="113"/>
      <c r="J52" s="113"/>
      <c r="K52" s="113"/>
      <c r="L52" s="113"/>
      <c r="M52" s="108"/>
      <c r="N52" s="108"/>
      <c r="O52" s="108"/>
      <c r="P52" s="108"/>
      <c r="Q52" s="108"/>
      <c r="R52" s="108"/>
      <c r="S52" s="109">
        <f t="shared" si="3"/>
        <v>0</v>
      </c>
      <c r="T52" s="108"/>
      <c r="U52" s="109"/>
      <c r="V52" s="109"/>
      <c r="W52" s="109"/>
      <c r="X52" s="108"/>
      <c r="Y52" s="110"/>
      <c r="Z52" s="111"/>
      <c r="AA52" s="111"/>
      <c r="AB52" s="111"/>
      <c r="AC52" s="110"/>
    </row>
    <row r="53" spans="1:29">
      <c r="A53" s="110">
        <v>3</v>
      </c>
      <c r="B53" s="238" t="s">
        <v>205</v>
      </c>
      <c r="C53" s="112">
        <f t="shared" si="2"/>
        <v>9519.8700000000008</v>
      </c>
      <c r="D53" s="113">
        <v>6398.6469999999999</v>
      </c>
      <c r="E53" s="113"/>
      <c r="F53" s="113">
        <f>9519870000/1000000</f>
        <v>9519.8700000000008</v>
      </c>
      <c r="G53" s="113"/>
      <c r="H53" s="113"/>
      <c r="I53" s="113"/>
      <c r="J53" s="113"/>
      <c r="K53" s="113"/>
      <c r="L53" s="113"/>
      <c r="M53" s="108"/>
      <c r="N53" s="108"/>
      <c r="O53" s="108"/>
      <c r="P53" s="108"/>
      <c r="Q53" s="108"/>
      <c r="R53" s="108"/>
      <c r="S53" s="109">
        <f t="shared" si="3"/>
        <v>0</v>
      </c>
      <c r="T53" s="108"/>
      <c r="U53" s="109"/>
      <c r="V53" s="109"/>
      <c r="W53" s="109"/>
      <c r="X53" s="108"/>
      <c r="Y53" s="110"/>
      <c r="Z53" s="111"/>
      <c r="AA53" s="111"/>
      <c r="AB53" s="111"/>
      <c r="AC53" s="110"/>
    </row>
    <row r="54" spans="1:29">
      <c r="A54" s="110">
        <v>4</v>
      </c>
      <c r="B54" s="238" t="s">
        <v>206</v>
      </c>
      <c r="C54" s="112">
        <f t="shared" si="2"/>
        <v>20258.738000000001</v>
      </c>
      <c r="D54" s="113">
        <v>14597.366</v>
      </c>
      <c r="E54" s="113"/>
      <c r="F54" s="113">
        <f>20258738000/1000000</f>
        <v>20258.738000000001</v>
      </c>
      <c r="G54" s="113"/>
      <c r="H54" s="113"/>
      <c r="I54" s="113"/>
      <c r="J54" s="113"/>
      <c r="K54" s="113"/>
      <c r="L54" s="113"/>
      <c r="M54" s="108"/>
      <c r="N54" s="108"/>
      <c r="O54" s="108"/>
      <c r="P54" s="108"/>
      <c r="Q54" s="108"/>
      <c r="R54" s="108"/>
      <c r="S54" s="109">
        <f t="shared" si="3"/>
        <v>0</v>
      </c>
      <c r="T54" s="108"/>
      <c r="U54" s="109"/>
      <c r="V54" s="109"/>
      <c r="W54" s="109"/>
      <c r="X54" s="108"/>
      <c r="Y54" s="110"/>
      <c r="Z54" s="111"/>
      <c r="AA54" s="111"/>
      <c r="AB54" s="111"/>
      <c r="AC54" s="110"/>
    </row>
    <row r="55" spans="1:29">
      <c r="A55" s="110">
        <v>5</v>
      </c>
      <c r="B55" s="238" t="s">
        <v>207</v>
      </c>
      <c r="C55" s="112">
        <f t="shared" si="2"/>
        <v>8760.1630000000005</v>
      </c>
      <c r="D55" s="113">
        <v>5747.6610000000001</v>
      </c>
      <c r="E55" s="113"/>
      <c r="F55" s="113">
        <f>8760163000/1000000</f>
        <v>8760.1630000000005</v>
      </c>
      <c r="G55" s="113"/>
      <c r="H55" s="113"/>
      <c r="I55" s="113"/>
      <c r="J55" s="113"/>
      <c r="K55" s="113"/>
      <c r="L55" s="113"/>
      <c r="M55" s="108"/>
      <c r="N55" s="108"/>
      <c r="O55" s="108"/>
      <c r="P55" s="108"/>
      <c r="Q55" s="108"/>
      <c r="R55" s="108"/>
      <c r="S55" s="109">
        <f t="shared" si="3"/>
        <v>0</v>
      </c>
      <c r="T55" s="108"/>
      <c r="U55" s="109"/>
      <c r="V55" s="109"/>
      <c r="W55" s="109"/>
      <c r="X55" s="108"/>
      <c r="Y55" s="110"/>
      <c r="Z55" s="111"/>
      <c r="AA55" s="111"/>
      <c r="AB55" s="111"/>
      <c r="AC55" s="110"/>
    </row>
    <row r="56" spans="1:29">
      <c r="A56" s="110">
        <v>6</v>
      </c>
      <c r="B56" s="238" t="s">
        <v>208</v>
      </c>
      <c r="C56" s="112">
        <f t="shared" si="2"/>
        <v>23031.627</v>
      </c>
      <c r="D56" s="113">
        <v>11369.409</v>
      </c>
      <c r="E56" s="113"/>
      <c r="F56" s="113">
        <f>23031627000/1000000</f>
        <v>23031.627</v>
      </c>
      <c r="G56" s="113"/>
      <c r="H56" s="113"/>
      <c r="I56" s="113"/>
      <c r="J56" s="113"/>
      <c r="K56" s="113"/>
      <c r="L56" s="113"/>
      <c r="M56" s="108"/>
      <c r="N56" s="108"/>
      <c r="O56" s="108"/>
      <c r="P56" s="108"/>
      <c r="Q56" s="108"/>
      <c r="R56" s="108"/>
      <c r="S56" s="109">
        <f t="shared" si="3"/>
        <v>0</v>
      </c>
      <c r="T56" s="108"/>
      <c r="U56" s="109"/>
      <c r="V56" s="109"/>
      <c r="W56" s="109"/>
      <c r="X56" s="108"/>
      <c r="Y56" s="110"/>
      <c r="Z56" s="111"/>
      <c r="AA56" s="111"/>
      <c r="AB56" s="111"/>
      <c r="AC56" s="110"/>
    </row>
    <row r="57" spans="1:29">
      <c r="A57" s="110">
        <v>7</v>
      </c>
      <c r="B57" s="238" t="s">
        <v>209</v>
      </c>
      <c r="C57" s="112">
        <f t="shared" si="2"/>
        <v>13344.388000000001</v>
      </c>
      <c r="D57" s="113">
        <v>9101.66</v>
      </c>
      <c r="E57" s="113"/>
      <c r="F57" s="113">
        <f>13344388000/1000000</f>
        <v>13344.388000000001</v>
      </c>
      <c r="G57" s="113"/>
      <c r="H57" s="113"/>
      <c r="I57" s="113"/>
      <c r="J57" s="113"/>
      <c r="K57" s="113"/>
      <c r="L57" s="113"/>
      <c r="M57" s="108"/>
      <c r="N57" s="108"/>
      <c r="O57" s="108"/>
      <c r="P57" s="108"/>
      <c r="Q57" s="108"/>
      <c r="R57" s="108"/>
      <c r="S57" s="109">
        <f t="shared" si="3"/>
        <v>0</v>
      </c>
      <c r="T57" s="108"/>
      <c r="U57" s="109"/>
      <c r="V57" s="109"/>
      <c r="W57" s="109"/>
      <c r="X57" s="108"/>
      <c r="Y57" s="110"/>
      <c r="Z57" s="111"/>
      <c r="AA57" s="111"/>
      <c r="AB57" s="111"/>
      <c r="AC57" s="110"/>
    </row>
    <row r="58" spans="1:29">
      <c r="A58" s="110">
        <v>8</v>
      </c>
      <c r="B58" s="238" t="s">
        <v>210</v>
      </c>
      <c r="C58" s="112">
        <f t="shared" si="2"/>
        <v>10289.800999999999</v>
      </c>
      <c r="D58" s="113">
        <v>6133.0129999999999</v>
      </c>
      <c r="E58" s="113"/>
      <c r="F58" s="113">
        <f>10289801000/1000000</f>
        <v>10289.800999999999</v>
      </c>
      <c r="G58" s="113"/>
      <c r="H58" s="113"/>
      <c r="I58" s="113"/>
      <c r="J58" s="113"/>
      <c r="K58" s="113"/>
      <c r="L58" s="113"/>
      <c r="M58" s="108"/>
      <c r="N58" s="108"/>
      <c r="O58" s="108"/>
      <c r="P58" s="108"/>
      <c r="Q58" s="108"/>
      <c r="R58" s="108"/>
      <c r="S58" s="109">
        <f t="shared" si="3"/>
        <v>0</v>
      </c>
      <c r="T58" s="108"/>
      <c r="U58" s="109"/>
      <c r="V58" s="109"/>
      <c r="W58" s="109"/>
      <c r="X58" s="108"/>
      <c r="Y58" s="110"/>
      <c r="Z58" s="111"/>
      <c r="AA58" s="111"/>
      <c r="AB58" s="111"/>
      <c r="AC58" s="110"/>
    </row>
    <row r="59" spans="1:29">
      <c r="A59" s="110">
        <v>9</v>
      </c>
      <c r="B59" s="238" t="s">
        <v>211</v>
      </c>
      <c r="C59" s="112">
        <f t="shared" si="2"/>
        <v>8407.5609999999997</v>
      </c>
      <c r="D59" s="113">
        <v>5545.16</v>
      </c>
      <c r="E59" s="113"/>
      <c r="F59" s="113">
        <f>8407561000/1000000</f>
        <v>8407.5609999999997</v>
      </c>
      <c r="G59" s="113"/>
      <c r="H59" s="113"/>
      <c r="I59" s="113"/>
      <c r="J59" s="113"/>
      <c r="K59" s="113"/>
      <c r="L59" s="113"/>
      <c r="M59" s="108"/>
      <c r="N59" s="108"/>
      <c r="O59" s="108"/>
      <c r="P59" s="108"/>
      <c r="Q59" s="108"/>
      <c r="R59" s="108"/>
      <c r="S59" s="109">
        <f t="shared" si="3"/>
        <v>0</v>
      </c>
      <c r="T59" s="108"/>
      <c r="U59" s="109"/>
      <c r="V59" s="109"/>
      <c r="W59" s="109"/>
      <c r="X59" s="108"/>
      <c r="Y59" s="110"/>
      <c r="Z59" s="111"/>
      <c r="AA59" s="111"/>
      <c r="AB59" s="111"/>
      <c r="AC59" s="110"/>
    </row>
    <row r="60" spans="1:29">
      <c r="A60" s="110">
        <v>10</v>
      </c>
      <c r="B60" s="238" t="s">
        <v>212</v>
      </c>
      <c r="C60" s="112">
        <f t="shared" si="2"/>
        <v>9183.4699999999993</v>
      </c>
      <c r="D60" s="113">
        <v>5713.2030000000004</v>
      </c>
      <c r="E60" s="113"/>
      <c r="F60" s="113">
        <f>9183470000/1000000</f>
        <v>9183.4699999999993</v>
      </c>
      <c r="G60" s="113"/>
      <c r="H60" s="113"/>
      <c r="I60" s="113"/>
      <c r="J60" s="113"/>
      <c r="K60" s="113"/>
      <c r="L60" s="113"/>
      <c r="M60" s="108"/>
      <c r="N60" s="108"/>
      <c r="O60" s="108"/>
      <c r="P60" s="108"/>
      <c r="Q60" s="108"/>
      <c r="R60" s="108"/>
      <c r="S60" s="109">
        <f t="shared" si="3"/>
        <v>0</v>
      </c>
      <c r="T60" s="108"/>
      <c r="U60" s="109"/>
      <c r="V60" s="109"/>
      <c r="W60" s="109"/>
      <c r="X60" s="108"/>
      <c r="Y60" s="110"/>
      <c r="Z60" s="111"/>
      <c r="AA60" s="111"/>
      <c r="AB60" s="111"/>
      <c r="AC60" s="110"/>
    </row>
    <row r="61" spans="1:29">
      <c r="A61" s="110">
        <v>11</v>
      </c>
      <c r="B61" s="238" t="s">
        <v>213</v>
      </c>
      <c r="C61" s="112">
        <f t="shared" si="2"/>
        <v>20209.508999999998</v>
      </c>
      <c r="D61" s="113">
        <v>10843.468000000001</v>
      </c>
      <c r="E61" s="113"/>
      <c r="F61" s="113">
        <f>20209509000/1000000</f>
        <v>20209.508999999998</v>
      </c>
      <c r="G61" s="113"/>
      <c r="H61" s="113"/>
      <c r="I61" s="113"/>
      <c r="J61" s="113"/>
      <c r="K61" s="113"/>
      <c r="L61" s="113"/>
      <c r="M61" s="108"/>
      <c r="N61" s="108"/>
      <c r="O61" s="108"/>
      <c r="P61" s="108"/>
      <c r="Q61" s="108"/>
      <c r="R61" s="108"/>
      <c r="S61" s="109">
        <f t="shared" si="3"/>
        <v>0</v>
      </c>
      <c r="T61" s="108"/>
      <c r="U61" s="109"/>
      <c r="V61" s="109"/>
      <c r="W61" s="109"/>
      <c r="X61" s="108"/>
      <c r="Y61" s="110"/>
      <c r="Z61" s="111"/>
      <c r="AA61" s="111"/>
      <c r="AB61" s="111"/>
      <c r="AC61" s="110"/>
    </row>
    <row r="62" spans="1:29">
      <c r="A62" s="110">
        <v>12</v>
      </c>
      <c r="B62" s="238" t="s">
        <v>214</v>
      </c>
      <c r="C62" s="112">
        <f t="shared" si="2"/>
        <v>10506.611999999999</v>
      </c>
      <c r="D62" s="113">
        <v>6505.16</v>
      </c>
      <c r="E62" s="113"/>
      <c r="F62" s="113">
        <f>10506612000/1000000</f>
        <v>10506.611999999999</v>
      </c>
      <c r="G62" s="113"/>
      <c r="H62" s="113"/>
      <c r="I62" s="113"/>
      <c r="J62" s="113"/>
      <c r="K62" s="113"/>
      <c r="L62" s="113"/>
      <c r="M62" s="108"/>
      <c r="N62" s="108"/>
      <c r="O62" s="108"/>
      <c r="P62" s="108"/>
      <c r="Q62" s="108"/>
      <c r="R62" s="108"/>
      <c r="S62" s="109">
        <f t="shared" si="3"/>
        <v>0</v>
      </c>
      <c r="T62" s="108"/>
      <c r="U62" s="109"/>
      <c r="V62" s="109"/>
      <c r="W62" s="109"/>
      <c r="X62" s="108"/>
      <c r="Y62" s="110"/>
      <c r="Z62" s="111"/>
      <c r="AA62" s="111"/>
      <c r="AB62" s="111"/>
      <c r="AC62" s="110"/>
    </row>
    <row r="63" spans="1:29">
      <c r="A63" s="110">
        <v>13</v>
      </c>
      <c r="B63" s="238" t="s">
        <v>215</v>
      </c>
      <c r="C63" s="112">
        <f t="shared" si="2"/>
        <v>8153.7730000000001</v>
      </c>
      <c r="D63" s="113">
        <v>5786.2879999999996</v>
      </c>
      <c r="E63" s="113"/>
      <c r="F63" s="113">
        <f>8153773000/1000000</f>
        <v>8153.7730000000001</v>
      </c>
      <c r="G63" s="113"/>
      <c r="H63" s="113"/>
      <c r="I63" s="113"/>
      <c r="J63" s="113"/>
      <c r="K63" s="113"/>
      <c r="L63" s="113"/>
      <c r="M63" s="108"/>
      <c r="N63" s="108"/>
      <c r="O63" s="108"/>
      <c r="P63" s="108"/>
      <c r="Q63" s="108"/>
      <c r="R63" s="108"/>
      <c r="S63" s="109">
        <f t="shared" si="3"/>
        <v>0</v>
      </c>
      <c r="T63" s="108"/>
      <c r="U63" s="109"/>
      <c r="V63" s="109"/>
      <c r="W63" s="109"/>
      <c r="X63" s="108"/>
      <c r="Y63" s="110"/>
      <c r="Z63" s="111"/>
      <c r="AA63" s="111"/>
      <c r="AB63" s="111"/>
      <c r="AC63" s="110"/>
    </row>
    <row r="64" spans="1:29">
      <c r="A64" s="110">
        <v>14</v>
      </c>
      <c r="B64" s="238" t="s">
        <v>216</v>
      </c>
      <c r="C64" s="112">
        <f t="shared" si="2"/>
        <v>20956.931</v>
      </c>
      <c r="D64" s="113">
        <v>11583.898999999999</v>
      </c>
      <c r="E64" s="113"/>
      <c r="F64" s="113">
        <f>20956931000/1000000</f>
        <v>20956.931</v>
      </c>
      <c r="G64" s="113"/>
      <c r="H64" s="113"/>
      <c r="I64" s="113"/>
      <c r="J64" s="113"/>
      <c r="K64" s="113"/>
      <c r="L64" s="113"/>
      <c r="M64" s="108"/>
      <c r="N64" s="108"/>
      <c r="O64" s="108"/>
      <c r="P64" s="108"/>
      <c r="Q64" s="108"/>
      <c r="R64" s="108"/>
      <c r="S64" s="109">
        <f t="shared" si="3"/>
        <v>0</v>
      </c>
      <c r="T64" s="108"/>
      <c r="U64" s="109"/>
      <c r="V64" s="109"/>
      <c r="W64" s="109"/>
      <c r="X64" s="108"/>
      <c r="Y64" s="110"/>
      <c r="Z64" s="111"/>
      <c r="AA64" s="111"/>
      <c r="AB64" s="111"/>
      <c r="AC64" s="110"/>
    </row>
    <row r="65" spans="1:29">
      <c r="A65" s="110">
        <v>15</v>
      </c>
      <c r="B65" s="238" t="s">
        <v>217</v>
      </c>
      <c r="C65" s="112">
        <f t="shared" si="2"/>
        <v>5199.67</v>
      </c>
      <c r="D65" s="113">
        <v>3973.1010000000001</v>
      </c>
      <c r="E65" s="113"/>
      <c r="F65" s="113">
        <f>5199670000/1000000</f>
        <v>5199.67</v>
      </c>
      <c r="G65" s="113"/>
      <c r="H65" s="113"/>
      <c r="I65" s="113"/>
      <c r="J65" s="113"/>
      <c r="K65" s="113"/>
      <c r="L65" s="113"/>
      <c r="M65" s="108"/>
      <c r="N65" s="108"/>
      <c r="O65" s="108"/>
      <c r="P65" s="108"/>
      <c r="Q65" s="108"/>
      <c r="R65" s="108"/>
      <c r="S65" s="109">
        <f t="shared" si="3"/>
        <v>0</v>
      </c>
      <c r="T65" s="108"/>
      <c r="U65" s="109"/>
      <c r="V65" s="109"/>
      <c r="W65" s="109"/>
      <c r="X65" s="108"/>
      <c r="Y65" s="110"/>
      <c r="Z65" s="111"/>
      <c r="AA65" s="111"/>
      <c r="AB65" s="111"/>
      <c r="AC65" s="110"/>
    </row>
    <row r="66" spans="1:29">
      <c r="A66" s="110">
        <v>16</v>
      </c>
      <c r="B66" s="238" t="s">
        <v>218</v>
      </c>
      <c r="C66" s="112">
        <f t="shared" si="2"/>
        <v>5737.4889999999996</v>
      </c>
      <c r="D66" s="113">
        <v>4288.2709999999997</v>
      </c>
      <c r="E66" s="113"/>
      <c r="F66" s="113">
        <f>5737489000/1000000</f>
        <v>5737.4889999999996</v>
      </c>
      <c r="G66" s="113"/>
      <c r="H66" s="113"/>
      <c r="I66" s="113"/>
      <c r="J66" s="113"/>
      <c r="K66" s="113"/>
      <c r="L66" s="113"/>
      <c r="M66" s="108"/>
      <c r="N66" s="108"/>
      <c r="O66" s="108"/>
      <c r="P66" s="108"/>
      <c r="Q66" s="108"/>
      <c r="R66" s="108"/>
      <c r="S66" s="109">
        <f t="shared" si="3"/>
        <v>0</v>
      </c>
      <c r="T66" s="108"/>
      <c r="U66" s="109"/>
      <c r="V66" s="109"/>
      <c r="W66" s="109"/>
      <c r="X66" s="108"/>
      <c r="Y66" s="110"/>
      <c r="Z66" s="111"/>
      <c r="AA66" s="111"/>
      <c r="AB66" s="111"/>
      <c r="AC66" s="110"/>
    </row>
    <row r="67" spans="1:29">
      <c r="A67" s="110">
        <v>17</v>
      </c>
      <c r="B67" s="238" t="s">
        <v>219</v>
      </c>
      <c r="C67" s="112">
        <f t="shared" si="2"/>
        <v>11831.575000000001</v>
      </c>
      <c r="D67" s="113">
        <v>6574.8289999999997</v>
      </c>
      <c r="E67" s="113"/>
      <c r="F67" s="113">
        <f>11831575000/1000000</f>
        <v>11831.575000000001</v>
      </c>
      <c r="G67" s="113"/>
      <c r="H67" s="113"/>
      <c r="I67" s="113"/>
      <c r="J67" s="113"/>
      <c r="K67" s="113"/>
      <c r="L67" s="113"/>
      <c r="M67" s="108"/>
      <c r="N67" s="108"/>
      <c r="O67" s="108"/>
      <c r="P67" s="108"/>
      <c r="Q67" s="108"/>
      <c r="R67" s="108"/>
      <c r="S67" s="109">
        <f t="shared" si="3"/>
        <v>0</v>
      </c>
      <c r="T67" s="108"/>
      <c r="U67" s="109"/>
      <c r="V67" s="109"/>
      <c r="W67" s="109"/>
      <c r="X67" s="108"/>
      <c r="Y67" s="110"/>
      <c r="Z67" s="111"/>
      <c r="AA67" s="111"/>
      <c r="AB67" s="111"/>
      <c r="AC67" s="110"/>
    </row>
    <row r="68" spans="1:29">
      <c r="A68" s="110">
        <v>18</v>
      </c>
      <c r="B68" s="238" t="s">
        <v>220</v>
      </c>
      <c r="C68" s="112">
        <f t="shared" si="2"/>
        <v>10740.12</v>
      </c>
      <c r="D68" s="113">
        <v>9537.2260000000006</v>
      </c>
      <c r="E68" s="113"/>
      <c r="F68" s="113">
        <f>10740120000/1000000</f>
        <v>10740.12</v>
      </c>
      <c r="G68" s="113"/>
      <c r="H68" s="113"/>
      <c r="I68" s="113"/>
      <c r="J68" s="113"/>
      <c r="K68" s="113"/>
      <c r="L68" s="113"/>
      <c r="M68" s="108"/>
      <c r="N68" s="108"/>
      <c r="O68" s="108"/>
      <c r="P68" s="108"/>
      <c r="Q68" s="108"/>
      <c r="R68" s="108"/>
      <c r="S68" s="109">
        <f t="shared" si="3"/>
        <v>0</v>
      </c>
      <c r="T68" s="108"/>
      <c r="U68" s="109"/>
      <c r="V68" s="109"/>
      <c r="W68" s="109"/>
      <c r="X68" s="108"/>
      <c r="Y68" s="110"/>
      <c r="Z68" s="111"/>
      <c r="AA68" s="111"/>
      <c r="AB68" s="111"/>
      <c r="AC68" s="110"/>
    </row>
    <row r="69" spans="1:29">
      <c r="A69" s="110">
        <v>19</v>
      </c>
      <c r="B69" s="238" t="s">
        <v>221</v>
      </c>
      <c r="C69" s="112">
        <f t="shared" si="2"/>
        <v>9413.8029999999999</v>
      </c>
      <c r="D69" s="113">
        <v>6272.857</v>
      </c>
      <c r="E69" s="113"/>
      <c r="F69" s="113">
        <f>9413803000/1000000</f>
        <v>9413.8029999999999</v>
      </c>
      <c r="G69" s="113"/>
      <c r="H69" s="113"/>
      <c r="I69" s="113"/>
      <c r="J69" s="113"/>
      <c r="K69" s="113"/>
      <c r="L69" s="113"/>
      <c r="M69" s="108"/>
      <c r="N69" s="108"/>
      <c r="O69" s="108"/>
      <c r="P69" s="108"/>
      <c r="Q69" s="108"/>
      <c r="R69" s="108"/>
      <c r="S69" s="109">
        <f t="shared" si="3"/>
        <v>0</v>
      </c>
      <c r="T69" s="108"/>
      <c r="U69" s="109"/>
      <c r="V69" s="109"/>
      <c r="W69" s="109"/>
      <c r="X69" s="108"/>
      <c r="Y69" s="110"/>
      <c r="Z69" s="111"/>
      <c r="AA69" s="111"/>
      <c r="AB69" s="111"/>
      <c r="AC69" s="110"/>
    </row>
    <row r="70" spans="1:29">
      <c r="A70" s="110">
        <v>20</v>
      </c>
      <c r="B70" s="238" t="s">
        <v>222</v>
      </c>
      <c r="C70" s="112">
        <f t="shared" si="2"/>
        <v>9096.8109999999997</v>
      </c>
      <c r="D70" s="113">
        <v>5836.1030000000001</v>
      </c>
      <c r="E70" s="113"/>
      <c r="F70" s="113">
        <f>9096811000/1000000</f>
        <v>9096.8109999999997</v>
      </c>
      <c r="G70" s="113"/>
      <c r="H70" s="113"/>
      <c r="I70" s="113"/>
      <c r="J70" s="113"/>
      <c r="K70" s="113"/>
      <c r="L70" s="113"/>
      <c r="M70" s="108"/>
      <c r="N70" s="108"/>
      <c r="O70" s="108"/>
      <c r="P70" s="108"/>
      <c r="Q70" s="108"/>
      <c r="R70" s="108"/>
      <c r="S70" s="109">
        <f t="shared" si="3"/>
        <v>0</v>
      </c>
      <c r="T70" s="108"/>
      <c r="U70" s="109"/>
      <c r="V70" s="109"/>
      <c r="W70" s="109"/>
      <c r="X70" s="108"/>
      <c r="Y70" s="110"/>
      <c r="Z70" s="111"/>
      <c r="AA70" s="111"/>
      <c r="AB70" s="111"/>
      <c r="AC70" s="110"/>
    </row>
    <row r="71" spans="1:29">
      <c r="A71" s="110">
        <v>21</v>
      </c>
      <c r="B71" s="238" t="s">
        <v>223</v>
      </c>
      <c r="C71" s="112">
        <f t="shared" si="2"/>
        <v>12777.535</v>
      </c>
      <c r="D71" s="113">
        <v>6846.94</v>
      </c>
      <c r="E71" s="113"/>
      <c r="F71" s="113">
        <f>12777535000/1000000</f>
        <v>12777.535</v>
      </c>
      <c r="G71" s="113"/>
      <c r="H71" s="113"/>
      <c r="I71" s="113"/>
      <c r="J71" s="113"/>
      <c r="K71" s="113"/>
      <c r="L71" s="113"/>
      <c r="M71" s="108"/>
      <c r="N71" s="108"/>
      <c r="O71" s="108"/>
      <c r="P71" s="108"/>
      <c r="Q71" s="108"/>
      <c r="R71" s="108"/>
      <c r="S71" s="109">
        <f t="shared" si="3"/>
        <v>0</v>
      </c>
      <c r="T71" s="108"/>
      <c r="U71" s="109"/>
      <c r="V71" s="109"/>
      <c r="W71" s="109"/>
      <c r="X71" s="108"/>
      <c r="Y71" s="110"/>
      <c r="Z71" s="111"/>
      <c r="AA71" s="111"/>
      <c r="AB71" s="111"/>
      <c r="AC71" s="110"/>
    </row>
    <row r="72" spans="1:29">
      <c r="A72" s="110">
        <v>22</v>
      </c>
      <c r="B72" s="238" t="s">
        <v>224</v>
      </c>
      <c r="C72" s="112">
        <f t="shared" si="2"/>
        <v>17722.878000000001</v>
      </c>
      <c r="D72" s="113">
        <v>8036.2659999999996</v>
      </c>
      <c r="E72" s="113"/>
      <c r="F72" s="113">
        <f>17722878000/1000000</f>
        <v>17722.878000000001</v>
      </c>
      <c r="G72" s="113"/>
      <c r="H72" s="113"/>
      <c r="I72" s="113"/>
      <c r="J72" s="113"/>
      <c r="K72" s="113"/>
      <c r="L72" s="113"/>
      <c r="M72" s="108"/>
      <c r="N72" s="108"/>
      <c r="O72" s="108"/>
      <c r="P72" s="108"/>
      <c r="Q72" s="108"/>
      <c r="R72" s="108"/>
      <c r="S72" s="109">
        <f t="shared" si="3"/>
        <v>0</v>
      </c>
      <c r="T72" s="108"/>
      <c r="U72" s="109"/>
      <c r="V72" s="109"/>
      <c r="W72" s="109"/>
      <c r="X72" s="108"/>
      <c r="Y72" s="110"/>
      <c r="Z72" s="111"/>
      <c r="AA72" s="111"/>
      <c r="AB72" s="111"/>
      <c r="AC72" s="110"/>
    </row>
    <row r="73" spans="1:29">
      <c r="A73" s="110">
        <v>23</v>
      </c>
      <c r="B73" s="238" t="s">
        <v>225</v>
      </c>
      <c r="C73" s="112">
        <f t="shared" si="2"/>
        <v>7018.9650000000001</v>
      </c>
      <c r="D73" s="113">
        <v>4494.3509999999997</v>
      </c>
      <c r="E73" s="113"/>
      <c r="F73" s="113">
        <f>7018965000/1000000</f>
        <v>7018.9650000000001</v>
      </c>
      <c r="G73" s="113"/>
      <c r="H73" s="113"/>
      <c r="I73" s="113"/>
      <c r="J73" s="113"/>
      <c r="K73" s="113"/>
      <c r="L73" s="113"/>
      <c r="M73" s="108"/>
      <c r="N73" s="108"/>
      <c r="O73" s="108"/>
      <c r="P73" s="108"/>
      <c r="Q73" s="108"/>
      <c r="R73" s="108"/>
      <c r="S73" s="109">
        <f t="shared" si="3"/>
        <v>0</v>
      </c>
      <c r="T73" s="108"/>
      <c r="U73" s="109"/>
      <c r="V73" s="109"/>
      <c r="W73" s="109"/>
      <c r="X73" s="108"/>
      <c r="Y73" s="110"/>
      <c r="Z73" s="111"/>
      <c r="AA73" s="111"/>
      <c r="AB73" s="111"/>
      <c r="AC73" s="110"/>
    </row>
    <row r="74" spans="1:29">
      <c r="A74" s="110">
        <v>24</v>
      </c>
      <c r="B74" s="238" t="s">
        <v>226</v>
      </c>
      <c r="C74" s="112">
        <f t="shared" si="2"/>
        <v>7318.7240000000002</v>
      </c>
      <c r="D74" s="113">
        <v>2576.9479999999999</v>
      </c>
      <c r="E74" s="113"/>
      <c r="F74" s="113">
        <f>7318724000/1000000</f>
        <v>7318.7240000000002</v>
      </c>
      <c r="G74" s="113"/>
      <c r="H74" s="113"/>
      <c r="I74" s="113"/>
      <c r="J74" s="113"/>
      <c r="K74" s="113"/>
      <c r="L74" s="113"/>
      <c r="M74" s="108"/>
      <c r="N74" s="108"/>
      <c r="O74" s="108"/>
      <c r="P74" s="108"/>
      <c r="Q74" s="108"/>
      <c r="R74" s="108"/>
      <c r="S74" s="109">
        <f t="shared" si="3"/>
        <v>0</v>
      </c>
      <c r="T74" s="108"/>
      <c r="U74" s="109"/>
      <c r="V74" s="109"/>
      <c r="W74" s="109"/>
      <c r="X74" s="108"/>
      <c r="Y74" s="110"/>
      <c r="Z74" s="111"/>
      <c r="AA74" s="111"/>
      <c r="AB74" s="111"/>
      <c r="AC74" s="110"/>
    </row>
    <row r="75" spans="1:29">
      <c r="A75" s="110">
        <v>25</v>
      </c>
      <c r="B75" s="238" t="s">
        <v>227</v>
      </c>
      <c r="C75" s="112">
        <f t="shared" si="2"/>
        <v>14111.254999999999</v>
      </c>
      <c r="D75" s="113">
        <v>8325.3449999999993</v>
      </c>
      <c r="E75" s="113"/>
      <c r="F75" s="113">
        <f>14111255000/1000000</f>
        <v>14111.254999999999</v>
      </c>
      <c r="G75" s="113"/>
      <c r="H75" s="113"/>
      <c r="I75" s="113"/>
      <c r="J75" s="113"/>
      <c r="K75" s="113"/>
      <c r="L75" s="113"/>
      <c r="M75" s="108"/>
      <c r="N75" s="108"/>
      <c r="O75" s="108"/>
      <c r="P75" s="108"/>
      <c r="Q75" s="108"/>
      <c r="R75" s="108"/>
      <c r="S75" s="109">
        <f t="shared" si="3"/>
        <v>0</v>
      </c>
      <c r="T75" s="108"/>
      <c r="U75" s="109"/>
      <c r="V75" s="109"/>
      <c r="W75" s="109"/>
      <c r="X75" s="108"/>
      <c r="Y75" s="110"/>
      <c r="Z75" s="111"/>
      <c r="AA75" s="111"/>
      <c r="AB75" s="111"/>
      <c r="AC75" s="110"/>
    </row>
    <row r="76" spans="1:29">
      <c r="A76" s="110">
        <v>26</v>
      </c>
      <c r="B76" s="238" t="s">
        <v>228</v>
      </c>
      <c r="C76" s="112">
        <f t="shared" si="2"/>
        <v>6190.933</v>
      </c>
      <c r="D76" s="113">
        <v>3824.643</v>
      </c>
      <c r="E76" s="113"/>
      <c r="F76" s="113">
        <f>6190933000/1000000</f>
        <v>6190.933</v>
      </c>
      <c r="G76" s="113"/>
      <c r="H76" s="113"/>
      <c r="I76" s="113"/>
      <c r="J76" s="113"/>
      <c r="K76" s="113"/>
      <c r="L76" s="113"/>
      <c r="M76" s="108"/>
      <c r="N76" s="108"/>
      <c r="O76" s="108"/>
      <c r="P76" s="108"/>
      <c r="Q76" s="108"/>
      <c r="R76" s="108"/>
      <c r="S76" s="109">
        <f t="shared" si="3"/>
        <v>0</v>
      </c>
      <c r="T76" s="108"/>
      <c r="U76" s="109"/>
      <c r="V76" s="109"/>
      <c r="W76" s="109"/>
      <c r="X76" s="108"/>
      <c r="Y76" s="110"/>
      <c r="Z76" s="111"/>
      <c r="AA76" s="111"/>
      <c r="AB76" s="111"/>
      <c r="AC76" s="110"/>
    </row>
    <row r="77" spans="1:29">
      <c r="A77" s="110">
        <v>27</v>
      </c>
      <c r="B77" s="238" t="s">
        <v>229</v>
      </c>
      <c r="C77" s="112">
        <f t="shared" si="2"/>
        <v>9256.9269999999997</v>
      </c>
      <c r="D77" s="113">
        <v>5921.67</v>
      </c>
      <c r="E77" s="113"/>
      <c r="F77" s="113">
        <f>9256927000/1000000</f>
        <v>9256.9269999999997</v>
      </c>
      <c r="G77" s="113"/>
      <c r="H77" s="113"/>
      <c r="I77" s="113"/>
      <c r="J77" s="113"/>
      <c r="K77" s="113"/>
      <c r="L77" s="113"/>
      <c r="M77" s="108"/>
      <c r="N77" s="108"/>
      <c r="O77" s="108"/>
      <c r="P77" s="108"/>
      <c r="Q77" s="108"/>
      <c r="R77" s="108"/>
      <c r="S77" s="109">
        <f t="shared" si="3"/>
        <v>0</v>
      </c>
      <c r="T77" s="108"/>
      <c r="U77" s="109"/>
      <c r="V77" s="109"/>
      <c r="W77" s="109"/>
      <c r="X77" s="108"/>
      <c r="Y77" s="110"/>
      <c r="Z77" s="111"/>
      <c r="AA77" s="111"/>
      <c r="AB77" s="111"/>
      <c r="AC77" s="110"/>
    </row>
    <row r="78" spans="1:29">
      <c r="A78" s="110">
        <v>28</v>
      </c>
      <c r="B78" s="238" t="s">
        <v>230</v>
      </c>
      <c r="C78" s="112">
        <f t="shared" si="2"/>
        <v>7579.326</v>
      </c>
      <c r="D78" s="113">
        <v>4470.4530000000004</v>
      </c>
      <c r="E78" s="113"/>
      <c r="F78" s="113">
        <f>7579326000/1000000</f>
        <v>7579.326</v>
      </c>
      <c r="G78" s="113"/>
      <c r="H78" s="113"/>
      <c r="I78" s="113"/>
      <c r="J78" s="113"/>
      <c r="K78" s="113"/>
      <c r="L78" s="113"/>
      <c r="M78" s="108"/>
      <c r="N78" s="108"/>
      <c r="O78" s="108"/>
      <c r="P78" s="108"/>
      <c r="Q78" s="108"/>
      <c r="R78" s="108"/>
      <c r="S78" s="109">
        <f t="shared" si="3"/>
        <v>0</v>
      </c>
      <c r="T78" s="108"/>
      <c r="U78" s="109"/>
      <c r="V78" s="109"/>
      <c r="W78" s="109"/>
      <c r="X78" s="108"/>
      <c r="Y78" s="110"/>
      <c r="Z78" s="111"/>
      <c r="AA78" s="111"/>
      <c r="AB78" s="111"/>
      <c r="AC78" s="110"/>
    </row>
    <row r="79" spans="1:29">
      <c r="A79" s="110">
        <v>29</v>
      </c>
      <c r="B79" s="238" t="s">
        <v>395</v>
      </c>
      <c r="C79" s="112">
        <f t="shared" si="2"/>
        <v>9261.2039999999997</v>
      </c>
      <c r="D79" s="113">
        <v>3565.7979999999998</v>
      </c>
      <c r="E79" s="113"/>
      <c r="F79" s="113">
        <f>9261204000/1000000</f>
        <v>9261.2039999999997</v>
      </c>
      <c r="G79" s="113"/>
      <c r="H79" s="113"/>
      <c r="I79" s="113"/>
      <c r="J79" s="113"/>
      <c r="K79" s="113"/>
      <c r="L79" s="113"/>
      <c r="M79" s="108"/>
      <c r="N79" s="108"/>
      <c r="O79" s="108"/>
      <c r="P79" s="108"/>
      <c r="Q79" s="108"/>
      <c r="R79" s="108"/>
      <c r="S79" s="109">
        <f t="shared" si="3"/>
        <v>0</v>
      </c>
      <c r="T79" s="108"/>
      <c r="U79" s="109"/>
      <c r="V79" s="109"/>
      <c r="W79" s="109"/>
      <c r="X79" s="108"/>
      <c r="Y79" s="110"/>
      <c r="Z79" s="111"/>
      <c r="AA79" s="111"/>
      <c r="AB79" s="111"/>
      <c r="AC79" s="110"/>
    </row>
    <row r="80" spans="1:29">
      <c r="A80" s="110">
        <v>30</v>
      </c>
      <c r="B80" s="238" t="s">
        <v>231</v>
      </c>
      <c r="C80" s="112">
        <f t="shared" si="2"/>
        <v>10451.343000000001</v>
      </c>
      <c r="D80" s="113">
        <v>7253.866</v>
      </c>
      <c r="E80" s="113"/>
      <c r="F80" s="113">
        <f>10451343000/1000000</f>
        <v>10451.343000000001</v>
      </c>
      <c r="G80" s="113"/>
      <c r="H80" s="113"/>
      <c r="I80" s="113"/>
      <c r="J80" s="113"/>
      <c r="K80" s="113"/>
      <c r="L80" s="113"/>
      <c r="M80" s="108"/>
      <c r="N80" s="108"/>
      <c r="O80" s="108"/>
      <c r="P80" s="108"/>
      <c r="Q80" s="108"/>
      <c r="R80" s="108"/>
      <c r="S80" s="109">
        <f t="shared" si="3"/>
        <v>0</v>
      </c>
      <c r="T80" s="108"/>
      <c r="U80" s="109"/>
      <c r="V80" s="109"/>
      <c r="W80" s="109"/>
      <c r="X80" s="108"/>
      <c r="Y80" s="110"/>
      <c r="Z80" s="111"/>
      <c r="AA80" s="111"/>
      <c r="AB80" s="111"/>
      <c r="AC80" s="110"/>
    </row>
    <row r="81" spans="1:29">
      <c r="A81" s="110">
        <v>31</v>
      </c>
      <c r="B81" s="238" t="s">
        <v>232</v>
      </c>
      <c r="C81" s="112">
        <f t="shared" si="2"/>
        <v>17227.952000000001</v>
      </c>
      <c r="D81" s="113">
        <v>4023.346</v>
      </c>
      <c r="E81" s="113"/>
      <c r="F81" s="113">
        <f>17227952000/1000000</f>
        <v>17227.952000000001</v>
      </c>
      <c r="G81" s="113"/>
      <c r="H81" s="113"/>
      <c r="I81" s="113"/>
      <c r="J81" s="113"/>
      <c r="K81" s="113"/>
      <c r="L81" s="113"/>
      <c r="M81" s="108"/>
      <c r="N81" s="108"/>
      <c r="O81" s="108"/>
      <c r="P81" s="108"/>
      <c r="Q81" s="108"/>
      <c r="R81" s="108"/>
      <c r="S81" s="109">
        <f t="shared" si="3"/>
        <v>0</v>
      </c>
      <c r="T81" s="108"/>
      <c r="U81" s="109"/>
      <c r="V81" s="109"/>
      <c r="W81" s="109"/>
      <c r="X81" s="108"/>
      <c r="Y81" s="110"/>
      <c r="Z81" s="111"/>
      <c r="AA81" s="111"/>
      <c r="AB81" s="111"/>
      <c r="AC81" s="110"/>
    </row>
    <row r="82" spans="1:29">
      <c r="A82" s="110">
        <v>32</v>
      </c>
      <c r="B82" s="238" t="s">
        <v>233</v>
      </c>
      <c r="C82" s="112">
        <f t="shared" ref="C82:C146" si="4">F82</f>
        <v>7136.5150000000003</v>
      </c>
      <c r="D82" s="113">
        <v>5224.509</v>
      </c>
      <c r="E82" s="113"/>
      <c r="F82" s="113">
        <f>7136515000/1000000</f>
        <v>7136.5150000000003</v>
      </c>
      <c r="G82" s="113"/>
      <c r="H82" s="113"/>
      <c r="I82" s="113"/>
      <c r="J82" s="113"/>
      <c r="K82" s="113"/>
      <c r="L82" s="113"/>
      <c r="M82" s="108"/>
      <c r="N82" s="108"/>
      <c r="O82" s="108"/>
      <c r="P82" s="108"/>
      <c r="Q82" s="108"/>
      <c r="R82" s="108"/>
      <c r="S82" s="109">
        <f t="shared" ref="S82:S141" si="5">SUM(T82:X82)</f>
        <v>0</v>
      </c>
      <c r="T82" s="108"/>
      <c r="U82" s="109"/>
      <c r="V82" s="109"/>
      <c r="W82" s="109"/>
      <c r="X82" s="108"/>
      <c r="Y82" s="110"/>
      <c r="Z82" s="111"/>
      <c r="AA82" s="111"/>
      <c r="AB82" s="111"/>
      <c r="AC82" s="110"/>
    </row>
    <row r="83" spans="1:29">
      <c r="A83" s="110">
        <v>33</v>
      </c>
      <c r="B83" s="238" t="s">
        <v>234</v>
      </c>
      <c r="C83" s="112">
        <f t="shared" si="4"/>
        <v>5984.31</v>
      </c>
      <c r="D83" s="113">
        <v>4951.0839999999998</v>
      </c>
      <c r="E83" s="113"/>
      <c r="F83" s="113">
        <f>5984310000/1000000</f>
        <v>5984.31</v>
      </c>
      <c r="G83" s="113"/>
      <c r="H83" s="113"/>
      <c r="I83" s="113"/>
      <c r="J83" s="113"/>
      <c r="K83" s="113"/>
      <c r="L83" s="113"/>
      <c r="M83" s="108"/>
      <c r="N83" s="108"/>
      <c r="O83" s="108"/>
      <c r="P83" s="108"/>
      <c r="Q83" s="108"/>
      <c r="R83" s="108"/>
      <c r="S83" s="109">
        <f t="shared" si="5"/>
        <v>0</v>
      </c>
      <c r="T83" s="108"/>
      <c r="U83" s="109"/>
      <c r="V83" s="109"/>
      <c r="W83" s="109"/>
      <c r="X83" s="108"/>
      <c r="Y83" s="110"/>
      <c r="Z83" s="111"/>
      <c r="AA83" s="111"/>
      <c r="AB83" s="111"/>
      <c r="AC83" s="110"/>
    </row>
    <row r="84" spans="1:29">
      <c r="A84" s="110">
        <v>34</v>
      </c>
      <c r="B84" s="238" t="s">
        <v>235</v>
      </c>
      <c r="C84" s="112">
        <f t="shared" si="4"/>
        <v>18259.75</v>
      </c>
      <c r="D84" s="113">
        <v>9148.2929999999997</v>
      </c>
      <c r="E84" s="113"/>
      <c r="F84" s="113">
        <f>18259750000/1000000</f>
        <v>18259.75</v>
      </c>
      <c r="G84" s="113"/>
      <c r="H84" s="113"/>
      <c r="I84" s="113"/>
      <c r="J84" s="113"/>
      <c r="K84" s="113"/>
      <c r="L84" s="113"/>
      <c r="M84" s="108"/>
      <c r="N84" s="108"/>
      <c r="O84" s="108"/>
      <c r="P84" s="108"/>
      <c r="Q84" s="108"/>
      <c r="R84" s="108"/>
      <c r="S84" s="109">
        <f t="shared" si="5"/>
        <v>0</v>
      </c>
      <c r="T84" s="108"/>
      <c r="U84" s="109"/>
      <c r="V84" s="109"/>
      <c r="W84" s="109"/>
      <c r="X84" s="108"/>
      <c r="Y84" s="110"/>
      <c r="Z84" s="111"/>
      <c r="AA84" s="111"/>
      <c r="AB84" s="111"/>
      <c r="AC84" s="110"/>
    </row>
    <row r="85" spans="1:29">
      <c r="A85" s="110">
        <v>35</v>
      </c>
      <c r="B85" s="238" t="s">
        <v>236</v>
      </c>
      <c r="C85" s="112">
        <f t="shared" si="4"/>
        <v>9861.7119999999995</v>
      </c>
      <c r="D85" s="113">
        <v>7111.4740000000002</v>
      </c>
      <c r="E85" s="113"/>
      <c r="F85" s="113">
        <f>9861712000/1000000</f>
        <v>9861.7119999999995</v>
      </c>
      <c r="G85" s="113"/>
      <c r="H85" s="113"/>
      <c r="I85" s="113"/>
      <c r="J85" s="113"/>
      <c r="K85" s="113"/>
      <c r="L85" s="113"/>
      <c r="M85" s="108"/>
      <c r="N85" s="108"/>
      <c r="O85" s="108"/>
      <c r="P85" s="108"/>
      <c r="Q85" s="108"/>
      <c r="R85" s="108"/>
      <c r="S85" s="109">
        <f t="shared" si="5"/>
        <v>0</v>
      </c>
      <c r="T85" s="108"/>
      <c r="U85" s="109"/>
      <c r="V85" s="109"/>
      <c r="W85" s="109"/>
      <c r="X85" s="108"/>
      <c r="Y85" s="110"/>
      <c r="Z85" s="111"/>
      <c r="AA85" s="111"/>
      <c r="AB85" s="111"/>
      <c r="AC85" s="110"/>
    </row>
    <row r="86" spans="1:29">
      <c r="A86" s="110">
        <v>36</v>
      </c>
      <c r="B86" s="238" t="s">
        <v>396</v>
      </c>
      <c r="C86" s="112">
        <f t="shared" si="4"/>
        <v>7683.91</v>
      </c>
      <c r="D86" s="113">
        <v>3742.366</v>
      </c>
      <c r="E86" s="113"/>
      <c r="F86" s="113">
        <f>7683910000/1000000</f>
        <v>7683.91</v>
      </c>
      <c r="G86" s="113"/>
      <c r="H86" s="113"/>
      <c r="I86" s="113"/>
      <c r="J86" s="113"/>
      <c r="K86" s="113"/>
      <c r="L86" s="113"/>
      <c r="M86" s="108"/>
      <c r="N86" s="108"/>
      <c r="O86" s="108"/>
      <c r="P86" s="108"/>
      <c r="Q86" s="108"/>
      <c r="R86" s="108"/>
      <c r="S86" s="109">
        <f t="shared" si="5"/>
        <v>0</v>
      </c>
      <c r="T86" s="108"/>
      <c r="U86" s="109"/>
      <c r="V86" s="109"/>
      <c r="W86" s="109"/>
      <c r="X86" s="108"/>
      <c r="Y86" s="110"/>
      <c r="Z86" s="111"/>
      <c r="AA86" s="111"/>
      <c r="AB86" s="111"/>
      <c r="AC86" s="110"/>
    </row>
    <row r="87" spans="1:29">
      <c r="A87" s="110">
        <v>37</v>
      </c>
      <c r="B87" s="238" t="s">
        <v>237</v>
      </c>
      <c r="C87" s="112">
        <f t="shared" si="4"/>
        <v>12871.681</v>
      </c>
      <c r="D87" s="113">
        <v>8865.3439999999991</v>
      </c>
      <c r="E87" s="113"/>
      <c r="F87" s="113">
        <f>12871681000/1000000</f>
        <v>12871.681</v>
      </c>
      <c r="G87" s="113"/>
      <c r="H87" s="113"/>
      <c r="I87" s="113"/>
      <c r="J87" s="113"/>
      <c r="K87" s="113"/>
      <c r="L87" s="113"/>
      <c r="M87" s="108"/>
      <c r="N87" s="108"/>
      <c r="O87" s="108"/>
      <c r="P87" s="108"/>
      <c r="Q87" s="108"/>
      <c r="R87" s="108"/>
      <c r="S87" s="109">
        <f t="shared" si="5"/>
        <v>0</v>
      </c>
      <c r="T87" s="108"/>
      <c r="U87" s="109"/>
      <c r="V87" s="109"/>
      <c r="W87" s="109"/>
      <c r="X87" s="108"/>
      <c r="Y87" s="110"/>
      <c r="Z87" s="111"/>
      <c r="AA87" s="111"/>
      <c r="AB87" s="111"/>
      <c r="AC87" s="110"/>
    </row>
    <row r="88" spans="1:29">
      <c r="A88" s="110">
        <v>38</v>
      </c>
      <c r="B88" s="238" t="s">
        <v>238</v>
      </c>
      <c r="C88" s="112">
        <f t="shared" si="4"/>
        <v>6741.0209999999997</v>
      </c>
      <c r="D88" s="113">
        <v>4270.5770000000002</v>
      </c>
      <c r="E88" s="113"/>
      <c r="F88" s="113">
        <f>6741021000/1000000</f>
        <v>6741.0209999999997</v>
      </c>
      <c r="G88" s="113"/>
      <c r="H88" s="113"/>
      <c r="I88" s="113"/>
      <c r="J88" s="113"/>
      <c r="K88" s="113"/>
      <c r="L88" s="113"/>
      <c r="M88" s="108"/>
      <c r="N88" s="108"/>
      <c r="O88" s="108"/>
      <c r="P88" s="108"/>
      <c r="Q88" s="108"/>
      <c r="R88" s="108"/>
      <c r="S88" s="109">
        <f t="shared" si="5"/>
        <v>0</v>
      </c>
      <c r="T88" s="108"/>
      <c r="U88" s="109"/>
      <c r="V88" s="109"/>
      <c r="W88" s="109"/>
      <c r="X88" s="108"/>
      <c r="Y88" s="110"/>
      <c r="Z88" s="111"/>
      <c r="AA88" s="111"/>
      <c r="AB88" s="111"/>
      <c r="AC88" s="110"/>
    </row>
    <row r="89" spans="1:29">
      <c r="A89" s="110">
        <v>39</v>
      </c>
      <c r="B89" s="238" t="s">
        <v>239</v>
      </c>
      <c r="C89" s="112">
        <f t="shared" si="4"/>
        <v>8122.5680000000002</v>
      </c>
      <c r="D89" s="113">
        <v>9024.0499999999993</v>
      </c>
      <c r="E89" s="113"/>
      <c r="F89" s="113">
        <f>8122568000/1000000</f>
        <v>8122.5680000000002</v>
      </c>
      <c r="G89" s="113"/>
      <c r="H89" s="113"/>
      <c r="I89" s="113"/>
      <c r="J89" s="113"/>
      <c r="K89" s="113"/>
      <c r="L89" s="113"/>
      <c r="M89" s="108"/>
      <c r="N89" s="108"/>
      <c r="O89" s="108"/>
      <c r="P89" s="108"/>
      <c r="Q89" s="108"/>
      <c r="R89" s="108"/>
      <c r="S89" s="109">
        <f t="shared" si="5"/>
        <v>0</v>
      </c>
      <c r="T89" s="108"/>
      <c r="U89" s="109"/>
      <c r="V89" s="109"/>
      <c r="W89" s="109"/>
      <c r="X89" s="108"/>
      <c r="Y89" s="110"/>
      <c r="Z89" s="111"/>
      <c r="AA89" s="111"/>
      <c r="AB89" s="111"/>
      <c r="AC89" s="110"/>
    </row>
    <row r="90" spans="1:29">
      <c r="A90" s="110">
        <v>40</v>
      </c>
      <c r="B90" s="238" t="s">
        <v>240</v>
      </c>
      <c r="C90" s="112">
        <f t="shared" si="4"/>
        <v>7061.4880000000003</v>
      </c>
      <c r="D90" s="113">
        <v>4459.0230000000001</v>
      </c>
      <c r="E90" s="113"/>
      <c r="F90" s="113">
        <f>7061488000/1000000</f>
        <v>7061.4880000000003</v>
      </c>
      <c r="G90" s="113"/>
      <c r="H90" s="113"/>
      <c r="I90" s="113"/>
      <c r="J90" s="113"/>
      <c r="K90" s="113"/>
      <c r="L90" s="113"/>
      <c r="M90" s="108"/>
      <c r="N90" s="108"/>
      <c r="O90" s="108"/>
      <c r="P90" s="108"/>
      <c r="Q90" s="108"/>
      <c r="R90" s="108"/>
      <c r="S90" s="109">
        <f t="shared" si="5"/>
        <v>0</v>
      </c>
      <c r="T90" s="108"/>
      <c r="U90" s="109"/>
      <c r="V90" s="109"/>
      <c r="W90" s="109"/>
      <c r="X90" s="108"/>
      <c r="Y90" s="110"/>
      <c r="Z90" s="111"/>
      <c r="AA90" s="111"/>
      <c r="AB90" s="111"/>
      <c r="AC90" s="110"/>
    </row>
    <row r="91" spans="1:29">
      <c r="A91" s="110">
        <v>41</v>
      </c>
      <c r="B91" s="238" t="s">
        <v>241</v>
      </c>
      <c r="C91" s="112">
        <f t="shared" si="4"/>
        <v>7484.1610000000001</v>
      </c>
      <c r="D91" s="113">
        <v>4470.0169999999998</v>
      </c>
      <c r="E91" s="113"/>
      <c r="F91" s="113">
        <f>7484161000/1000000</f>
        <v>7484.1610000000001</v>
      </c>
      <c r="G91" s="113"/>
      <c r="H91" s="113"/>
      <c r="I91" s="113"/>
      <c r="J91" s="113"/>
      <c r="K91" s="113"/>
      <c r="L91" s="113"/>
      <c r="M91" s="108"/>
      <c r="N91" s="108"/>
      <c r="O91" s="108"/>
      <c r="P91" s="108"/>
      <c r="Q91" s="108"/>
      <c r="R91" s="108"/>
      <c r="S91" s="109">
        <f t="shared" si="5"/>
        <v>0</v>
      </c>
      <c r="T91" s="108"/>
      <c r="U91" s="109"/>
      <c r="V91" s="109"/>
      <c r="W91" s="109"/>
      <c r="X91" s="108"/>
      <c r="Y91" s="110"/>
      <c r="Z91" s="111"/>
      <c r="AA91" s="111"/>
      <c r="AB91" s="111"/>
      <c r="AC91" s="110"/>
    </row>
    <row r="92" spans="1:29">
      <c r="A92" s="110">
        <v>42</v>
      </c>
      <c r="B92" s="238" t="s">
        <v>242</v>
      </c>
      <c r="C92" s="112">
        <f t="shared" si="4"/>
        <v>7744.3</v>
      </c>
      <c r="D92" s="113">
        <v>3971.2950000000001</v>
      </c>
      <c r="E92" s="113"/>
      <c r="F92" s="113">
        <f>7744300000/1000000</f>
        <v>7744.3</v>
      </c>
      <c r="G92" s="113"/>
      <c r="H92" s="113"/>
      <c r="I92" s="113"/>
      <c r="J92" s="113"/>
      <c r="K92" s="113"/>
      <c r="L92" s="113"/>
      <c r="M92" s="108"/>
      <c r="N92" s="108"/>
      <c r="O92" s="108"/>
      <c r="P92" s="108"/>
      <c r="Q92" s="108"/>
      <c r="R92" s="108"/>
      <c r="S92" s="109">
        <f t="shared" si="5"/>
        <v>0</v>
      </c>
      <c r="T92" s="108"/>
      <c r="U92" s="109"/>
      <c r="V92" s="109"/>
      <c r="W92" s="109"/>
      <c r="X92" s="108"/>
      <c r="Y92" s="110"/>
      <c r="Z92" s="111"/>
      <c r="AA92" s="111"/>
      <c r="AB92" s="111"/>
      <c r="AC92" s="110"/>
    </row>
    <row r="93" spans="1:29">
      <c r="A93" s="110">
        <v>43</v>
      </c>
      <c r="B93" s="238" t="s">
        <v>243</v>
      </c>
      <c r="C93" s="112">
        <f t="shared" si="4"/>
        <v>15615.484</v>
      </c>
      <c r="D93" s="113">
        <v>8543.7929999999997</v>
      </c>
      <c r="E93" s="113"/>
      <c r="F93" s="113">
        <f>15615484000/1000000</f>
        <v>15615.484</v>
      </c>
      <c r="G93" s="113"/>
      <c r="H93" s="113"/>
      <c r="I93" s="113"/>
      <c r="J93" s="113"/>
      <c r="K93" s="113"/>
      <c r="L93" s="113"/>
      <c r="M93" s="108"/>
      <c r="N93" s="108"/>
      <c r="O93" s="108"/>
      <c r="P93" s="108"/>
      <c r="Q93" s="108"/>
      <c r="R93" s="108"/>
      <c r="S93" s="109">
        <f t="shared" si="5"/>
        <v>0</v>
      </c>
      <c r="T93" s="108"/>
      <c r="U93" s="109"/>
      <c r="V93" s="109"/>
      <c r="W93" s="109"/>
      <c r="X93" s="108"/>
      <c r="Y93" s="110"/>
      <c r="Z93" s="111"/>
      <c r="AA93" s="111"/>
      <c r="AB93" s="111"/>
      <c r="AC93" s="110"/>
    </row>
    <row r="94" spans="1:29">
      <c r="A94" s="110">
        <v>44</v>
      </c>
      <c r="B94" s="238" t="s">
        <v>244</v>
      </c>
      <c r="C94" s="112">
        <f t="shared" si="4"/>
        <v>20688.224999999999</v>
      </c>
      <c r="D94" s="113">
        <v>12499.037</v>
      </c>
      <c r="E94" s="113"/>
      <c r="F94" s="113">
        <f>20688225000/1000000</f>
        <v>20688.224999999999</v>
      </c>
      <c r="G94" s="113"/>
      <c r="H94" s="113"/>
      <c r="I94" s="113"/>
      <c r="J94" s="113"/>
      <c r="K94" s="113"/>
      <c r="L94" s="113"/>
      <c r="M94" s="108"/>
      <c r="N94" s="108"/>
      <c r="O94" s="108"/>
      <c r="P94" s="108"/>
      <c r="Q94" s="108"/>
      <c r="R94" s="108"/>
      <c r="S94" s="109">
        <f t="shared" si="5"/>
        <v>0</v>
      </c>
      <c r="T94" s="108"/>
      <c r="U94" s="109"/>
      <c r="V94" s="109"/>
      <c r="W94" s="109"/>
      <c r="X94" s="108"/>
      <c r="Y94" s="110"/>
      <c r="Z94" s="111"/>
      <c r="AA94" s="111"/>
      <c r="AB94" s="111"/>
      <c r="AC94" s="110"/>
    </row>
    <row r="95" spans="1:29">
      <c r="A95" s="110">
        <v>45</v>
      </c>
      <c r="B95" s="238" t="s">
        <v>245</v>
      </c>
      <c r="C95" s="112">
        <f t="shared" si="4"/>
        <v>4355.8410000000003</v>
      </c>
      <c r="D95" s="113">
        <v>2048.183</v>
      </c>
      <c r="E95" s="113"/>
      <c r="F95" s="113">
        <f>4355841000/1000000</f>
        <v>4355.8410000000003</v>
      </c>
      <c r="G95" s="113"/>
      <c r="H95" s="113"/>
      <c r="I95" s="113"/>
      <c r="J95" s="113"/>
      <c r="K95" s="113"/>
      <c r="L95" s="113"/>
      <c r="M95" s="108"/>
      <c r="N95" s="108"/>
      <c r="O95" s="108"/>
      <c r="P95" s="108"/>
      <c r="Q95" s="108"/>
      <c r="R95" s="108"/>
      <c r="S95" s="109">
        <f t="shared" si="5"/>
        <v>0</v>
      </c>
      <c r="T95" s="108"/>
      <c r="U95" s="109"/>
      <c r="V95" s="109"/>
      <c r="W95" s="109"/>
      <c r="X95" s="108"/>
      <c r="Y95" s="110"/>
      <c r="Z95" s="111"/>
      <c r="AA95" s="111"/>
      <c r="AB95" s="111"/>
      <c r="AC95" s="110"/>
    </row>
    <row r="96" spans="1:29">
      <c r="A96" s="110">
        <v>46</v>
      </c>
      <c r="B96" s="238" t="s">
        <v>246</v>
      </c>
      <c r="C96" s="112">
        <f t="shared" si="4"/>
        <v>5256.6940000000004</v>
      </c>
      <c r="D96" s="113">
        <v>3687.7910000000002</v>
      </c>
      <c r="E96" s="113"/>
      <c r="F96" s="113">
        <f>5256694000/1000000</f>
        <v>5256.6940000000004</v>
      </c>
      <c r="G96" s="113"/>
      <c r="H96" s="113"/>
      <c r="I96" s="113"/>
      <c r="J96" s="113"/>
      <c r="K96" s="113"/>
      <c r="L96" s="113"/>
      <c r="M96" s="108"/>
      <c r="N96" s="108"/>
      <c r="O96" s="108"/>
      <c r="P96" s="108"/>
      <c r="Q96" s="108"/>
      <c r="R96" s="108"/>
      <c r="S96" s="109">
        <f t="shared" si="5"/>
        <v>0</v>
      </c>
      <c r="T96" s="108"/>
      <c r="U96" s="109"/>
      <c r="V96" s="109"/>
      <c r="W96" s="109"/>
      <c r="X96" s="108"/>
      <c r="Y96" s="110"/>
      <c r="Z96" s="111"/>
      <c r="AA96" s="111"/>
      <c r="AB96" s="111"/>
      <c r="AC96" s="110"/>
    </row>
    <row r="97" spans="1:29">
      <c r="A97" s="110">
        <v>47</v>
      </c>
      <c r="B97" s="238" t="s">
        <v>247</v>
      </c>
      <c r="C97" s="112">
        <f t="shared" si="4"/>
        <v>3293.6849999999999</v>
      </c>
      <c r="D97" s="113">
        <v>2236.386</v>
      </c>
      <c r="E97" s="113"/>
      <c r="F97" s="113">
        <f>3293685000/1000000</f>
        <v>3293.6849999999999</v>
      </c>
      <c r="G97" s="113"/>
      <c r="H97" s="113"/>
      <c r="I97" s="113"/>
      <c r="J97" s="113"/>
      <c r="K97" s="113"/>
      <c r="L97" s="113"/>
      <c r="M97" s="108"/>
      <c r="N97" s="108"/>
      <c r="O97" s="108"/>
      <c r="P97" s="108"/>
      <c r="Q97" s="108"/>
      <c r="R97" s="108"/>
      <c r="S97" s="109">
        <f t="shared" si="5"/>
        <v>0</v>
      </c>
      <c r="T97" s="108"/>
      <c r="U97" s="109"/>
      <c r="V97" s="109"/>
      <c r="W97" s="109"/>
      <c r="X97" s="108"/>
      <c r="Y97" s="110"/>
      <c r="Z97" s="111"/>
      <c r="AA97" s="111"/>
      <c r="AB97" s="111"/>
      <c r="AC97" s="110"/>
    </row>
    <row r="98" spans="1:29">
      <c r="A98" s="110">
        <v>48</v>
      </c>
      <c r="B98" s="238" t="s">
        <v>248</v>
      </c>
      <c r="C98" s="112">
        <f t="shared" si="4"/>
        <v>9381.7939999999999</v>
      </c>
      <c r="D98" s="113">
        <v>5047.1459999999997</v>
      </c>
      <c r="E98" s="113"/>
      <c r="F98" s="113">
        <f>9381794000/1000000</f>
        <v>9381.7939999999999</v>
      </c>
      <c r="G98" s="113"/>
      <c r="H98" s="113"/>
      <c r="I98" s="113"/>
      <c r="J98" s="113"/>
      <c r="K98" s="113"/>
      <c r="L98" s="113"/>
      <c r="M98" s="108"/>
      <c r="N98" s="108"/>
      <c r="O98" s="108"/>
      <c r="P98" s="108"/>
      <c r="Q98" s="108"/>
      <c r="R98" s="108"/>
      <c r="S98" s="109">
        <f t="shared" si="5"/>
        <v>0</v>
      </c>
      <c r="T98" s="108"/>
      <c r="U98" s="109"/>
      <c r="V98" s="109"/>
      <c r="W98" s="109"/>
      <c r="X98" s="108"/>
      <c r="Y98" s="110"/>
      <c r="Z98" s="111"/>
      <c r="AA98" s="111"/>
      <c r="AB98" s="111"/>
      <c r="AC98" s="110"/>
    </row>
    <row r="99" spans="1:29">
      <c r="A99" s="110">
        <v>49</v>
      </c>
      <c r="B99" s="238" t="s">
        <v>249</v>
      </c>
      <c r="C99" s="112">
        <f t="shared" si="4"/>
        <v>9070.6990000000005</v>
      </c>
      <c r="D99" s="113">
        <v>5331.4740000000002</v>
      </c>
      <c r="E99" s="113"/>
      <c r="F99" s="113">
        <f>9070699000/1000000</f>
        <v>9070.6990000000005</v>
      </c>
      <c r="G99" s="113"/>
      <c r="H99" s="113"/>
      <c r="I99" s="113"/>
      <c r="J99" s="113"/>
      <c r="K99" s="113"/>
      <c r="L99" s="113"/>
      <c r="M99" s="108"/>
      <c r="N99" s="108"/>
      <c r="O99" s="108"/>
      <c r="P99" s="108"/>
      <c r="Q99" s="108"/>
      <c r="R99" s="108"/>
      <c r="S99" s="109">
        <f t="shared" si="5"/>
        <v>0</v>
      </c>
      <c r="T99" s="108"/>
      <c r="U99" s="109"/>
      <c r="V99" s="109"/>
      <c r="W99" s="109"/>
      <c r="X99" s="108"/>
      <c r="Y99" s="110"/>
      <c r="Z99" s="111"/>
      <c r="AA99" s="111"/>
      <c r="AB99" s="111"/>
      <c r="AC99" s="110"/>
    </row>
    <row r="100" spans="1:29">
      <c r="A100" s="110">
        <v>50</v>
      </c>
      <c r="B100" s="238" t="s">
        <v>250</v>
      </c>
      <c r="C100" s="112">
        <f t="shared" si="4"/>
        <v>22373.504000000001</v>
      </c>
      <c r="D100" s="113">
        <v>10238.626</v>
      </c>
      <c r="E100" s="113"/>
      <c r="F100" s="113">
        <f>22373504000/1000000</f>
        <v>22373.504000000001</v>
      </c>
      <c r="G100" s="113"/>
      <c r="H100" s="113"/>
      <c r="I100" s="113"/>
      <c r="J100" s="113"/>
      <c r="K100" s="113"/>
      <c r="L100" s="113"/>
      <c r="M100" s="108"/>
      <c r="N100" s="108"/>
      <c r="O100" s="108"/>
      <c r="P100" s="108"/>
      <c r="Q100" s="108"/>
      <c r="R100" s="108"/>
      <c r="S100" s="109">
        <f t="shared" si="5"/>
        <v>0</v>
      </c>
      <c r="T100" s="108"/>
      <c r="U100" s="109"/>
      <c r="V100" s="109"/>
      <c r="W100" s="109"/>
      <c r="X100" s="108"/>
      <c r="Y100" s="110"/>
      <c r="Z100" s="111"/>
      <c r="AA100" s="111"/>
      <c r="AB100" s="111"/>
      <c r="AC100" s="110"/>
    </row>
    <row r="101" spans="1:29">
      <c r="A101" s="110">
        <v>51</v>
      </c>
      <c r="B101" s="238" t="s">
        <v>251</v>
      </c>
      <c r="C101" s="112">
        <f t="shared" si="4"/>
        <v>12283.725</v>
      </c>
      <c r="D101" s="113">
        <v>5835.8609999999999</v>
      </c>
      <c r="E101" s="113"/>
      <c r="F101" s="113">
        <f>12283725000/1000000</f>
        <v>12283.725</v>
      </c>
      <c r="G101" s="113"/>
      <c r="H101" s="113"/>
      <c r="I101" s="113"/>
      <c r="J101" s="113"/>
      <c r="K101" s="113"/>
      <c r="L101" s="113"/>
      <c r="M101" s="108"/>
      <c r="N101" s="108"/>
      <c r="O101" s="108"/>
      <c r="P101" s="108"/>
      <c r="Q101" s="108"/>
      <c r="R101" s="108"/>
      <c r="S101" s="109">
        <f t="shared" si="5"/>
        <v>0</v>
      </c>
      <c r="T101" s="108"/>
      <c r="U101" s="109"/>
      <c r="V101" s="109"/>
      <c r="W101" s="109"/>
      <c r="X101" s="108"/>
      <c r="Y101" s="110"/>
      <c r="Z101" s="111"/>
      <c r="AA101" s="111"/>
      <c r="AB101" s="111"/>
      <c r="AC101" s="110"/>
    </row>
    <row r="102" spans="1:29">
      <c r="A102" s="110">
        <v>52</v>
      </c>
      <c r="B102" s="238" t="s">
        <v>252</v>
      </c>
      <c r="C102" s="112">
        <f t="shared" si="4"/>
        <v>8864.7139999999999</v>
      </c>
      <c r="D102" s="113">
        <v>4326.1989999999996</v>
      </c>
      <c r="E102" s="113"/>
      <c r="F102" s="113">
        <f>8864714000/1000000</f>
        <v>8864.7139999999999</v>
      </c>
      <c r="G102" s="113"/>
      <c r="H102" s="113"/>
      <c r="I102" s="113"/>
      <c r="J102" s="113"/>
      <c r="K102" s="113"/>
      <c r="L102" s="113"/>
      <c r="M102" s="108"/>
      <c r="N102" s="108"/>
      <c r="O102" s="108"/>
      <c r="P102" s="108"/>
      <c r="Q102" s="108"/>
      <c r="R102" s="108"/>
      <c r="S102" s="109">
        <f t="shared" si="5"/>
        <v>0</v>
      </c>
      <c r="T102" s="108"/>
      <c r="U102" s="109"/>
      <c r="V102" s="109"/>
      <c r="W102" s="109"/>
      <c r="X102" s="108"/>
      <c r="Y102" s="110"/>
      <c r="Z102" s="111"/>
      <c r="AA102" s="111"/>
      <c r="AB102" s="111"/>
      <c r="AC102" s="110"/>
    </row>
    <row r="103" spans="1:29">
      <c r="A103" s="110">
        <v>53</v>
      </c>
      <c r="B103" s="238" t="s">
        <v>336</v>
      </c>
      <c r="C103" s="112">
        <f t="shared" si="4"/>
        <v>7702.9269999999997</v>
      </c>
      <c r="D103" s="113">
        <v>5294.56</v>
      </c>
      <c r="E103" s="113"/>
      <c r="F103" s="113">
        <f>7702927000/1000000</f>
        <v>7702.9269999999997</v>
      </c>
      <c r="G103" s="113"/>
      <c r="H103" s="113"/>
      <c r="I103" s="113"/>
      <c r="J103" s="113"/>
      <c r="K103" s="113"/>
      <c r="L103" s="113"/>
      <c r="M103" s="108"/>
      <c r="N103" s="108"/>
      <c r="O103" s="108"/>
      <c r="P103" s="108"/>
      <c r="Q103" s="108"/>
      <c r="R103" s="108"/>
      <c r="S103" s="109">
        <f t="shared" si="5"/>
        <v>0</v>
      </c>
      <c r="T103" s="108"/>
      <c r="U103" s="109"/>
      <c r="V103" s="109"/>
      <c r="W103" s="109"/>
      <c r="X103" s="108"/>
      <c r="Y103" s="110"/>
      <c r="Z103" s="111"/>
      <c r="AA103" s="111"/>
      <c r="AB103" s="111"/>
      <c r="AC103" s="110"/>
    </row>
    <row r="104" spans="1:29">
      <c r="A104" s="110">
        <v>54</v>
      </c>
      <c r="B104" s="238" t="s">
        <v>337</v>
      </c>
      <c r="C104" s="112">
        <f t="shared" si="4"/>
        <v>18931.691999999999</v>
      </c>
      <c r="D104" s="113">
        <v>7385.2960000000003</v>
      </c>
      <c r="E104" s="113"/>
      <c r="F104" s="113">
        <f>18931692000/1000000</f>
        <v>18931.691999999999</v>
      </c>
      <c r="G104" s="113"/>
      <c r="H104" s="113"/>
      <c r="I104" s="113"/>
      <c r="J104" s="113"/>
      <c r="K104" s="113"/>
      <c r="L104" s="113"/>
      <c r="M104" s="108"/>
      <c r="N104" s="108"/>
      <c r="O104" s="108"/>
      <c r="P104" s="108"/>
      <c r="Q104" s="108"/>
      <c r="R104" s="108"/>
      <c r="S104" s="109">
        <f t="shared" si="5"/>
        <v>0</v>
      </c>
      <c r="T104" s="108"/>
      <c r="U104" s="109"/>
      <c r="V104" s="109"/>
      <c r="W104" s="109"/>
      <c r="X104" s="108"/>
      <c r="Y104" s="110"/>
      <c r="Z104" s="111"/>
      <c r="AA104" s="111"/>
      <c r="AB104" s="111"/>
      <c r="AC104" s="110"/>
    </row>
    <row r="105" spans="1:29" ht="20.399999999999999">
      <c r="A105" s="101" t="s">
        <v>15</v>
      </c>
      <c r="B105" s="102" t="s">
        <v>346</v>
      </c>
      <c r="C105" s="95">
        <f>SUM(C106:C139)</f>
        <v>395116.56599999999</v>
      </c>
      <c r="D105" s="95"/>
      <c r="E105" s="95"/>
      <c r="F105" s="95">
        <f>SUM(F106:F139)</f>
        <v>395116.56599999999</v>
      </c>
      <c r="G105" s="95"/>
      <c r="H105" s="95"/>
      <c r="I105" s="95"/>
      <c r="J105" s="95"/>
      <c r="K105" s="95"/>
      <c r="L105" s="95"/>
      <c r="M105" s="108"/>
      <c r="N105" s="108"/>
      <c r="O105" s="108"/>
      <c r="P105" s="108"/>
      <c r="Q105" s="108"/>
      <c r="R105" s="108"/>
      <c r="S105" s="109"/>
      <c r="T105" s="108"/>
      <c r="U105" s="109"/>
      <c r="V105" s="109"/>
      <c r="W105" s="109"/>
      <c r="X105" s="108"/>
      <c r="Y105" s="110"/>
      <c r="Z105" s="111"/>
      <c r="AA105" s="111"/>
      <c r="AB105" s="111"/>
      <c r="AC105" s="110"/>
    </row>
    <row r="106" spans="1:29">
      <c r="A106" s="110">
        <v>1</v>
      </c>
      <c r="B106" s="238" t="s">
        <v>253</v>
      </c>
      <c r="C106" s="112">
        <f t="shared" si="4"/>
        <v>5892.4430000000002</v>
      </c>
      <c r="D106" s="113">
        <v>5008.9530000000004</v>
      </c>
      <c r="E106" s="113"/>
      <c r="F106" s="113">
        <f>5892443000/1000000</f>
        <v>5892.4430000000002</v>
      </c>
      <c r="G106" s="113"/>
      <c r="H106" s="113"/>
      <c r="I106" s="113"/>
      <c r="J106" s="113"/>
      <c r="K106" s="113"/>
      <c r="L106" s="113"/>
      <c r="M106" s="108"/>
      <c r="N106" s="108"/>
      <c r="O106" s="108"/>
      <c r="P106" s="108"/>
      <c r="Q106" s="108"/>
      <c r="R106" s="108"/>
      <c r="S106" s="109">
        <f t="shared" si="5"/>
        <v>0</v>
      </c>
      <c r="T106" s="108"/>
      <c r="U106" s="109"/>
      <c r="V106" s="109"/>
      <c r="W106" s="109"/>
      <c r="X106" s="108"/>
      <c r="Y106" s="110"/>
      <c r="Z106" s="111"/>
      <c r="AA106" s="111"/>
      <c r="AB106" s="111"/>
      <c r="AC106" s="110"/>
    </row>
    <row r="107" spans="1:29">
      <c r="A107" s="110">
        <v>2</v>
      </c>
      <c r="B107" s="238" t="s">
        <v>254</v>
      </c>
      <c r="C107" s="112">
        <f t="shared" si="4"/>
        <v>10542.297</v>
      </c>
      <c r="D107" s="113">
        <v>15662.769</v>
      </c>
      <c r="E107" s="113"/>
      <c r="F107" s="113">
        <f>10542297000/1000000</f>
        <v>10542.297</v>
      </c>
      <c r="G107" s="113"/>
      <c r="H107" s="113"/>
      <c r="I107" s="113"/>
      <c r="J107" s="113"/>
      <c r="K107" s="113"/>
      <c r="L107" s="113"/>
      <c r="M107" s="108"/>
      <c r="N107" s="108"/>
      <c r="O107" s="108"/>
      <c r="P107" s="108"/>
      <c r="Q107" s="108"/>
      <c r="R107" s="108"/>
      <c r="S107" s="109">
        <f t="shared" si="5"/>
        <v>0</v>
      </c>
      <c r="T107" s="108"/>
      <c r="U107" s="109"/>
      <c r="V107" s="109"/>
      <c r="W107" s="109"/>
      <c r="X107" s="108"/>
      <c r="Y107" s="110"/>
      <c r="Z107" s="111"/>
      <c r="AA107" s="111"/>
      <c r="AB107" s="111"/>
      <c r="AC107" s="110"/>
    </row>
    <row r="108" spans="1:29">
      <c r="A108" s="110">
        <v>3</v>
      </c>
      <c r="B108" s="238" t="s">
        <v>255</v>
      </c>
      <c r="C108" s="112">
        <f t="shared" si="4"/>
        <v>8361.9590000000007</v>
      </c>
      <c r="D108" s="113">
        <v>7550.4809999999998</v>
      </c>
      <c r="E108" s="113"/>
      <c r="F108" s="113">
        <f>8361959000/1000000</f>
        <v>8361.9590000000007</v>
      </c>
      <c r="G108" s="113"/>
      <c r="H108" s="113"/>
      <c r="I108" s="113"/>
      <c r="J108" s="113"/>
      <c r="K108" s="113"/>
      <c r="L108" s="113"/>
      <c r="M108" s="108"/>
      <c r="N108" s="108"/>
      <c r="O108" s="108"/>
      <c r="P108" s="108"/>
      <c r="Q108" s="108"/>
      <c r="R108" s="108"/>
      <c r="S108" s="109">
        <f t="shared" si="5"/>
        <v>0</v>
      </c>
      <c r="T108" s="108"/>
      <c r="U108" s="109"/>
      <c r="V108" s="109"/>
      <c r="W108" s="109"/>
      <c r="X108" s="108"/>
      <c r="Y108" s="110"/>
      <c r="Z108" s="111"/>
      <c r="AA108" s="111"/>
      <c r="AB108" s="111"/>
      <c r="AC108" s="110"/>
    </row>
    <row r="109" spans="1:29">
      <c r="A109" s="110">
        <v>4</v>
      </c>
      <c r="B109" s="238" t="s">
        <v>256</v>
      </c>
      <c r="C109" s="112">
        <f t="shared" si="4"/>
        <v>20491.887999999999</v>
      </c>
      <c r="D109" s="113">
        <v>7282.0159999999996</v>
      </c>
      <c r="E109" s="113"/>
      <c r="F109" s="113">
        <f>20491888000/1000000</f>
        <v>20491.887999999999</v>
      </c>
      <c r="G109" s="113"/>
      <c r="H109" s="113"/>
      <c r="I109" s="113"/>
      <c r="J109" s="113"/>
      <c r="K109" s="113"/>
      <c r="L109" s="113"/>
      <c r="M109" s="108"/>
      <c r="N109" s="108"/>
      <c r="O109" s="108"/>
      <c r="P109" s="108"/>
      <c r="Q109" s="108"/>
      <c r="R109" s="108"/>
      <c r="S109" s="109">
        <f t="shared" si="5"/>
        <v>0</v>
      </c>
      <c r="T109" s="108"/>
      <c r="U109" s="109"/>
      <c r="V109" s="109"/>
      <c r="W109" s="109"/>
      <c r="X109" s="108"/>
      <c r="Y109" s="110"/>
      <c r="Z109" s="111"/>
      <c r="AA109" s="111"/>
      <c r="AB109" s="111"/>
      <c r="AC109" s="110"/>
    </row>
    <row r="110" spans="1:29">
      <c r="A110" s="110">
        <v>5</v>
      </c>
      <c r="B110" s="238" t="s">
        <v>257</v>
      </c>
      <c r="C110" s="112">
        <f t="shared" si="4"/>
        <v>10909.203</v>
      </c>
      <c r="D110" s="113">
        <v>8954.2659999999996</v>
      </c>
      <c r="E110" s="113"/>
      <c r="F110" s="113">
        <f>10909203000/1000000</f>
        <v>10909.203</v>
      </c>
      <c r="G110" s="113"/>
      <c r="H110" s="113"/>
      <c r="I110" s="113"/>
      <c r="J110" s="113"/>
      <c r="K110" s="113"/>
      <c r="L110" s="113"/>
      <c r="M110" s="108"/>
      <c r="N110" s="108"/>
      <c r="O110" s="108"/>
      <c r="P110" s="108"/>
      <c r="Q110" s="108"/>
      <c r="R110" s="108"/>
      <c r="S110" s="109">
        <f t="shared" si="5"/>
        <v>0</v>
      </c>
      <c r="T110" s="108"/>
      <c r="U110" s="109"/>
      <c r="V110" s="109"/>
      <c r="W110" s="109"/>
      <c r="X110" s="108"/>
      <c r="Y110" s="110"/>
      <c r="Z110" s="111"/>
      <c r="AA110" s="111"/>
      <c r="AB110" s="111"/>
      <c r="AC110" s="110"/>
    </row>
    <row r="111" spans="1:29">
      <c r="A111" s="110">
        <v>6</v>
      </c>
      <c r="B111" s="238" t="s">
        <v>258</v>
      </c>
      <c r="C111" s="112">
        <f t="shared" si="4"/>
        <v>10540.531000000001</v>
      </c>
      <c r="D111" s="113">
        <v>7895.4650000000001</v>
      </c>
      <c r="E111" s="113"/>
      <c r="F111" s="113">
        <f>10540531000/1000000</f>
        <v>10540.531000000001</v>
      </c>
      <c r="G111" s="113"/>
      <c r="H111" s="113"/>
      <c r="I111" s="113"/>
      <c r="J111" s="113"/>
      <c r="K111" s="113"/>
      <c r="L111" s="113"/>
      <c r="M111" s="108"/>
      <c r="N111" s="108"/>
      <c r="O111" s="108"/>
      <c r="P111" s="108"/>
      <c r="Q111" s="108"/>
      <c r="R111" s="108"/>
      <c r="S111" s="109">
        <f t="shared" si="5"/>
        <v>0</v>
      </c>
      <c r="T111" s="108"/>
      <c r="U111" s="109"/>
      <c r="V111" s="109"/>
      <c r="W111" s="109"/>
      <c r="X111" s="108"/>
      <c r="Y111" s="110"/>
      <c r="Z111" s="111"/>
      <c r="AA111" s="111"/>
      <c r="AB111" s="111"/>
      <c r="AC111" s="110"/>
    </row>
    <row r="112" spans="1:29">
      <c r="A112" s="110">
        <v>7</v>
      </c>
      <c r="B112" s="238" t="s">
        <v>259</v>
      </c>
      <c r="C112" s="112">
        <f t="shared" si="4"/>
        <v>12837.137000000001</v>
      </c>
      <c r="D112" s="113">
        <v>4379.2370000000001</v>
      </c>
      <c r="E112" s="113"/>
      <c r="F112" s="113">
        <f>12837137000/1000000</f>
        <v>12837.137000000001</v>
      </c>
      <c r="G112" s="113"/>
      <c r="H112" s="113"/>
      <c r="I112" s="113"/>
      <c r="J112" s="113"/>
      <c r="K112" s="113"/>
      <c r="L112" s="113"/>
      <c r="M112" s="108"/>
      <c r="N112" s="108"/>
      <c r="O112" s="108"/>
      <c r="P112" s="108"/>
      <c r="Q112" s="108"/>
      <c r="R112" s="108"/>
      <c r="S112" s="109">
        <f t="shared" si="5"/>
        <v>0</v>
      </c>
      <c r="T112" s="108"/>
      <c r="U112" s="109"/>
      <c r="V112" s="109"/>
      <c r="W112" s="109"/>
      <c r="X112" s="108"/>
      <c r="Y112" s="110"/>
      <c r="Z112" s="111"/>
      <c r="AA112" s="111"/>
      <c r="AB112" s="111"/>
      <c r="AC112" s="110"/>
    </row>
    <row r="113" spans="1:29">
      <c r="A113" s="110">
        <v>8</v>
      </c>
      <c r="B113" s="238" t="s">
        <v>260</v>
      </c>
      <c r="C113" s="112">
        <f t="shared" si="4"/>
        <v>11577.043</v>
      </c>
      <c r="D113" s="113">
        <v>6562.7160000000003</v>
      </c>
      <c r="E113" s="113"/>
      <c r="F113" s="113">
        <f>11577043000/1000000</f>
        <v>11577.043</v>
      </c>
      <c r="G113" s="113"/>
      <c r="H113" s="113"/>
      <c r="I113" s="113"/>
      <c r="J113" s="113"/>
      <c r="K113" s="113"/>
      <c r="L113" s="113"/>
      <c r="M113" s="108"/>
      <c r="N113" s="108"/>
      <c r="O113" s="108"/>
      <c r="P113" s="108"/>
      <c r="Q113" s="108"/>
      <c r="R113" s="108"/>
      <c r="S113" s="109">
        <f t="shared" si="5"/>
        <v>0</v>
      </c>
      <c r="T113" s="108"/>
      <c r="U113" s="109"/>
      <c r="V113" s="109"/>
      <c r="W113" s="109"/>
      <c r="X113" s="108"/>
      <c r="Y113" s="110"/>
      <c r="Z113" s="111"/>
      <c r="AA113" s="111"/>
      <c r="AB113" s="111"/>
      <c r="AC113" s="110"/>
    </row>
    <row r="114" spans="1:29">
      <c r="A114" s="110">
        <v>9</v>
      </c>
      <c r="B114" s="238" t="s">
        <v>261</v>
      </c>
      <c r="C114" s="112">
        <f t="shared" si="4"/>
        <v>5455.5360000000001</v>
      </c>
      <c r="D114" s="113">
        <v>8238.3080000000009</v>
      </c>
      <c r="E114" s="113"/>
      <c r="F114" s="113">
        <f>5455536000/1000000</f>
        <v>5455.5360000000001</v>
      </c>
      <c r="G114" s="113"/>
      <c r="H114" s="113"/>
      <c r="I114" s="113"/>
      <c r="J114" s="113"/>
      <c r="K114" s="113"/>
      <c r="L114" s="113"/>
      <c r="M114" s="108"/>
      <c r="N114" s="108"/>
      <c r="O114" s="108"/>
      <c r="P114" s="108"/>
      <c r="Q114" s="108"/>
      <c r="R114" s="108"/>
      <c r="S114" s="109">
        <f t="shared" si="5"/>
        <v>0</v>
      </c>
      <c r="T114" s="108"/>
      <c r="U114" s="109"/>
      <c r="V114" s="109"/>
      <c r="W114" s="109"/>
      <c r="X114" s="108"/>
      <c r="Y114" s="110"/>
      <c r="Z114" s="111"/>
      <c r="AA114" s="111"/>
      <c r="AB114" s="111"/>
      <c r="AC114" s="110"/>
    </row>
    <row r="115" spans="1:29">
      <c r="A115" s="110">
        <v>10</v>
      </c>
      <c r="B115" s="238" t="s">
        <v>262</v>
      </c>
      <c r="C115" s="112">
        <f t="shared" si="4"/>
        <v>7976.982</v>
      </c>
      <c r="D115" s="113">
        <v>8770.6090000000004</v>
      </c>
      <c r="E115" s="113"/>
      <c r="F115" s="113">
        <f>7976982000/1000000</f>
        <v>7976.982</v>
      </c>
      <c r="G115" s="113"/>
      <c r="H115" s="113"/>
      <c r="I115" s="113"/>
      <c r="J115" s="113"/>
      <c r="K115" s="113"/>
      <c r="L115" s="113"/>
      <c r="M115" s="108"/>
      <c r="N115" s="108"/>
      <c r="O115" s="108"/>
      <c r="P115" s="108"/>
      <c r="Q115" s="108"/>
      <c r="R115" s="108"/>
      <c r="S115" s="109">
        <f t="shared" si="5"/>
        <v>0</v>
      </c>
      <c r="T115" s="108"/>
      <c r="U115" s="109"/>
      <c r="V115" s="109"/>
      <c r="W115" s="109"/>
      <c r="X115" s="108"/>
      <c r="Y115" s="110"/>
      <c r="Z115" s="111"/>
      <c r="AA115" s="111"/>
      <c r="AB115" s="111"/>
      <c r="AC115" s="110"/>
    </row>
    <row r="116" spans="1:29">
      <c r="A116" s="110">
        <v>11</v>
      </c>
      <c r="B116" s="238" t="s">
        <v>263</v>
      </c>
      <c r="C116" s="112">
        <f t="shared" si="4"/>
        <v>12929.507</v>
      </c>
      <c r="D116" s="113">
        <v>8894.384</v>
      </c>
      <c r="E116" s="113"/>
      <c r="F116" s="113">
        <f>12929507000/1000000</f>
        <v>12929.507</v>
      </c>
      <c r="G116" s="113"/>
      <c r="H116" s="113"/>
      <c r="I116" s="113"/>
      <c r="J116" s="113"/>
      <c r="K116" s="113"/>
      <c r="L116" s="113"/>
      <c r="M116" s="108"/>
      <c r="N116" s="108"/>
      <c r="O116" s="108"/>
      <c r="P116" s="108"/>
      <c r="Q116" s="108"/>
      <c r="R116" s="108"/>
      <c r="S116" s="109">
        <f t="shared" si="5"/>
        <v>0</v>
      </c>
      <c r="T116" s="108"/>
      <c r="U116" s="109"/>
      <c r="V116" s="109"/>
      <c r="W116" s="109"/>
      <c r="X116" s="108"/>
      <c r="Y116" s="110"/>
      <c r="Z116" s="111"/>
      <c r="AA116" s="111"/>
      <c r="AB116" s="111"/>
      <c r="AC116" s="110"/>
    </row>
    <row r="117" spans="1:29">
      <c r="A117" s="110">
        <v>12</v>
      </c>
      <c r="B117" s="238" t="s">
        <v>264</v>
      </c>
      <c r="C117" s="112">
        <f t="shared" si="4"/>
        <v>13846.518</v>
      </c>
      <c r="D117" s="113">
        <v>4960.1480000000001</v>
      </c>
      <c r="E117" s="113"/>
      <c r="F117" s="113">
        <f>13846518000/1000000</f>
        <v>13846.518</v>
      </c>
      <c r="G117" s="113"/>
      <c r="H117" s="113"/>
      <c r="I117" s="113"/>
      <c r="J117" s="113"/>
      <c r="K117" s="113"/>
      <c r="L117" s="113"/>
      <c r="M117" s="108"/>
      <c r="N117" s="108"/>
      <c r="O117" s="108"/>
      <c r="P117" s="108"/>
      <c r="Q117" s="108"/>
      <c r="R117" s="108"/>
      <c r="S117" s="109">
        <f t="shared" si="5"/>
        <v>0</v>
      </c>
      <c r="T117" s="108"/>
      <c r="U117" s="109"/>
      <c r="V117" s="109"/>
      <c r="W117" s="109"/>
      <c r="X117" s="108"/>
      <c r="Y117" s="110"/>
      <c r="Z117" s="111"/>
      <c r="AA117" s="111"/>
      <c r="AB117" s="111"/>
      <c r="AC117" s="110"/>
    </row>
    <row r="118" spans="1:29">
      <c r="A118" s="110">
        <v>13</v>
      </c>
      <c r="B118" s="238" t="s">
        <v>265</v>
      </c>
      <c r="C118" s="112">
        <f t="shared" si="4"/>
        <v>14901.391</v>
      </c>
      <c r="D118" s="113">
        <v>4302.0349999999999</v>
      </c>
      <c r="E118" s="113"/>
      <c r="F118" s="113">
        <f>14901391000/1000000</f>
        <v>14901.391</v>
      </c>
      <c r="G118" s="113"/>
      <c r="H118" s="113"/>
      <c r="I118" s="113"/>
      <c r="J118" s="113"/>
      <c r="K118" s="113"/>
      <c r="L118" s="113"/>
      <c r="M118" s="108"/>
      <c r="N118" s="108"/>
      <c r="O118" s="108"/>
      <c r="P118" s="108"/>
      <c r="Q118" s="108"/>
      <c r="R118" s="108"/>
      <c r="S118" s="109">
        <f t="shared" si="5"/>
        <v>0</v>
      </c>
      <c r="T118" s="108"/>
      <c r="U118" s="109"/>
      <c r="V118" s="109"/>
      <c r="W118" s="109"/>
      <c r="X118" s="108"/>
      <c r="Y118" s="110"/>
      <c r="Z118" s="111"/>
      <c r="AA118" s="111"/>
      <c r="AB118" s="111"/>
      <c r="AC118" s="110"/>
    </row>
    <row r="119" spans="1:29">
      <c r="A119" s="110">
        <v>14</v>
      </c>
      <c r="B119" s="238" t="s">
        <v>266</v>
      </c>
      <c r="C119" s="112">
        <f t="shared" si="4"/>
        <v>7182.7730000000001</v>
      </c>
      <c r="D119" s="113">
        <v>7402.3919999999998</v>
      </c>
      <c r="E119" s="113"/>
      <c r="F119" s="113">
        <f>7182773000/1000000</f>
        <v>7182.7730000000001</v>
      </c>
      <c r="G119" s="113"/>
      <c r="H119" s="113"/>
      <c r="I119" s="113"/>
      <c r="J119" s="113"/>
      <c r="K119" s="113"/>
      <c r="L119" s="113"/>
      <c r="M119" s="108"/>
      <c r="N119" s="108"/>
      <c r="O119" s="108"/>
      <c r="P119" s="108"/>
      <c r="Q119" s="108"/>
      <c r="R119" s="108"/>
      <c r="S119" s="109">
        <f t="shared" si="5"/>
        <v>0</v>
      </c>
      <c r="T119" s="108"/>
      <c r="U119" s="109"/>
      <c r="V119" s="109"/>
      <c r="W119" s="109"/>
      <c r="X119" s="108"/>
      <c r="Y119" s="110"/>
      <c r="Z119" s="111"/>
      <c r="AA119" s="111"/>
      <c r="AB119" s="111"/>
      <c r="AC119" s="110"/>
    </row>
    <row r="120" spans="1:29">
      <c r="A120" s="110">
        <v>15</v>
      </c>
      <c r="B120" s="238" t="s">
        <v>267</v>
      </c>
      <c r="C120" s="112">
        <f t="shared" si="4"/>
        <v>6601.8230000000003</v>
      </c>
      <c r="D120" s="113">
        <v>6559.1880000000001</v>
      </c>
      <c r="E120" s="113"/>
      <c r="F120" s="113">
        <f>6601823000/1000000</f>
        <v>6601.8230000000003</v>
      </c>
      <c r="G120" s="113"/>
      <c r="H120" s="113"/>
      <c r="I120" s="113"/>
      <c r="J120" s="113"/>
      <c r="K120" s="113"/>
      <c r="L120" s="113"/>
      <c r="M120" s="108"/>
      <c r="N120" s="108"/>
      <c r="O120" s="108"/>
      <c r="P120" s="108"/>
      <c r="Q120" s="108"/>
      <c r="R120" s="108"/>
      <c r="S120" s="109">
        <f t="shared" si="5"/>
        <v>0</v>
      </c>
      <c r="T120" s="108"/>
      <c r="U120" s="109"/>
      <c r="V120" s="109"/>
      <c r="W120" s="109"/>
      <c r="X120" s="108"/>
      <c r="Y120" s="110"/>
      <c r="Z120" s="111"/>
      <c r="AA120" s="111"/>
      <c r="AB120" s="111"/>
      <c r="AC120" s="110"/>
    </row>
    <row r="121" spans="1:29">
      <c r="A121" s="110">
        <v>16</v>
      </c>
      <c r="B121" s="238" t="s">
        <v>268</v>
      </c>
      <c r="C121" s="112">
        <f t="shared" si="4"/>
        <v>11618.873</v>
      </c>
      <c r="D121" s="113">
        <v>9986.35</v>
      </c>
      <c r="E121" s="113"/>
      <c r="F121" s="113">
        <f>11618873000/1000000</f>
        <v>11618.873</v>
      </c>
      <c r="G121" s="113"/>
      <c r="H121" s="113"/>
      <c r="I121" s="113"/>
      <c r="J121" s="113"/>
      <c r="K121" s="113"/>
      <c r="L121" s="113"/>
      <c r="M121" s="108"/>
      <c r="N121" s="108"/>
      <c r="O121" s="108"/>
      <c r="P121" s="108"/>
      <c r="Q121" s="108"/>
      <c r="R121" s="108"/>
      <c r="S121" s="109">
        <f t="shared" si="5"/>
        <v>0</v>
      </c>
      <c r="T121" s="108"/>
      <c r="U121" s="109"/>
      <c r="V121" s="109"/>
      <c r="W121" s="109"/>
      <c r="X121" s="108"/>
      <c r="Y121" s="110"/>
      <c r="Z121" s="111"/>
      <c r="AA121" s="111"/>
      <c r="AB121" s="111"/>
      <c r="AC121" s="110"/>
    </row>
    <row r="122" spans="1:29">
      <c r="A122" s="110">
        <v>17</v>
      </c>
      <c r="B122" s="238" t="s">
        <v>269</v>
      </c>
      <c r="C122" s="112">
        <f t="shared" si="4"/>
        <v>11025.726000000001</v>
      </c>
      <c r="D122" s="113">
        <v>8474.7189999999991</v>
      </c>
      <c r="E122" s="113"/>
      <c r="F122" s="113">
        <f>11025726000/1000000</f>
        <v>11025.726000000001</v>
      </c>
      <c r="G122" s="113"/>
      <c r="H122" s="113"/>
      <c r="I122" s="113"/>
      <c r="J122" s="113"/>
      <c r="K122" s="113"/>
      <c r="L122" s="113"/>
      <c r="M122" s="108"/>
      <c r="N122" s="108"/>
      <c r="O122" s="108"/>
      <c r="P122" s="108"/>
      <c r="Q122" s="108"/>
      <c r="R122" s="108"/>
      <c r="S122" s="109">
        <f t="shared" si="5"/>
        <v>0</v>
      </c>
      <c r="T122" s="108"/>
      <c r="U122" s="109"/>
      <c r="V122" s="109"/>
      <c r="W122" s="109"/>
      <c r="X122" s="108"/>
      <c r="Y122" s="110"/>
      <c r="Z122" s="111"/>
      <c r="AA122" s="111"/>
      <c r="AB122" s="111"/>
      <c r="AC122" s="110"/>
    </row>
    <row r="123" spans="1:29">
      <c r="A123" s="110">
        <v>18</v>
      </c>
      <c r="B123" s="238" t="s">
        <v>270</v>
      </c>
      <c r="C123" s="112">
        <f t="shared" si="4"/>
        <v>12288.228999999999</v>
      </c>
      <c r="D123" s="113">
        <v>6146.4189999999999</v>
      </c>
      <c r="E123" s="113"/>
      <c r="F123" s="113">
        <f>12288229000/1000000</f>
        <v>12288.228999999999</v>
      </c>
      <c r="G123" s="113"/>
      <c r="H123" s="113"/>
      <c r="I123" s="113"/>
      <c r="J123" s="113"/>
      <c r="K123" s="113"/>
      <c r="L123" s="113"/>
      <c r="M123" s="108"/>
      <c r="N123" s="108"/>
      <c r="O123" s="108"/>
      <c r="P123" s="108"/>
      <c r="Q123" s="108"/>
      <c r="R123" s="108"/>
      <c r="S123" s="109">
        <f t="shared" si="5"/>
        <v>0</v>
      </c>
      <c r="T123" s="108"/>
      <c r="U123" s="109"/>
      <c r="V123" s="109"/>
      <c r="W123" s="109"/>
      <c r="X123" s="108"/>
      <c r="Y123" s="110"/>
      <c r="Z123" s="111"/>
      <c r="AA123" s="111"/>
      <c r="AB123" s="111"/>
      <c r="AC123" s="110"/>
    </row>
    <row r="124" spans="1:29">
      <c r="A124" s="110">
        <v>19</v>
      </c>
      <c r="B124" s="238" t="s">
        <v>271</v>
      </c>
      <c r="C124" s="112">
        <f t="shared" si="4"/>
        <v>14678.736000000001</v>
      </c>
      <c r="D124" s="113">
        <v>7720.3190000000004</v>
      </c>
      <c r="E124" s="113"/>
      <c r="F124" s="113">
        <f>14678736000/1000000</f>
        <v>14678.736000000001</v>
      </c>
      <c r="G124" s="113"/>
      <c r="H124" s="113"/>
      <c r="I124" s="113"/>
      <c r="J124" s="113"/>
      <c r="K124" s="113"/>
      <c r="L124" s="113"/>
      <c r="M124" s="108"/>
      <c r="N124" s="108"/>
      <c r="O124" s="108"/>
      <c r="P124" s="108"/>
      <c r="Q124" s="108"/>
      <c r="R124" s="108"/>
      <c r="S124" s="109">
        <f t="shared" si="5"/>
        <v>0</v>
      </c>
      <c r="T124" s="108"/>
      <c r="U124" s="109"/>
      <c r="V124" s="109"/>
      <c r="W124" s="109"/>
      <c r="X124" s="108"/>
      <c r="Y124" s="110"/>
      <c r="Z124" s="111"/>
      <c r="AA124" s="111"/>
      <c r="AB124" s="111"/>
      <c r="AC124" s="110"/>
    </row>
    <row r="125" spans="1:29">
      <c r="A125" s="110">
        <v>20</v>
      </c>
      <c r="B125" s="238" t="s">
        <v>272</v>
      </c>
      <c r="C125" s="112">
        <f t="shared" si="4"/>
        <v>8563.6560000000009</v>
      </c>
      <c r="D125" s="113">
        <v>6142.36</v>
      </c>
      <c r="E125" s="113"/>
      <c r="F125" s="113">
        <f>8563656000/1000000</f>
        <v>8563.6560000000009</v>
      </c>
      <c r="G125" s="113"/>
      <c r="H125" s="113"/>
      <c r="I125" s="113"/>
      <c r="J125" s="113"/>
      <c r="K125" s="113"/>
      <c r="L125" s="113"/>
      <c r="M125" s="108"/>
      <c r="N125" s="108"/>
      <c r="O125" s="108"/>
      <c r="P125" s="108"/>
      <c r="Q125" s="108"/>
      <c r="R125" s="108"/>
      <c r="S125" s="109">
        <f t="shared" si="5"/>
        <v>0</v>
      </c>
      <c r="T125" s="108"/>
      <c r="U125" s="109"/>
      <c r="V125" s="109"/>
      <c r="W125" s="109"/>
      <c r="X125" s="108"/>
      <c r="Y125" s="110"/>
      <c r="Z125" s="111"/>
      <c r="AA125" s="111"/>
      <c r="AB125" s="111"/>
      <c r="AC125" s="110"/>
    </row>
    <row r="126" spans="1:29">
      <c r="A126" s="110">
        <v>21</v>
      </c>
      <c r="B126" s="238" t="s">
        <v>273</v>
      </c>
      <c r="C126" s="112">
        <f t="shared" si="4"/>
        <v>11238.375</v>
      </c>
      <c r="D126" s="113">
        <v>7882.1130000000003</v>
      </c>
      <c r="E126" s="113"/>
      <c r="F126" s="113">
        <f>11238375000/1000000</f>
        <v>11238.375</v>
      </c>
      <c r="G126" s="113"/>
      <c r="H126" s="113"/>
      <c r="I126" s="113"/>
      <c r="J126" s="113"/>
      <c r="K126" s="113"/>
      <c r="L126" s="113"/>
      <c r="M126" s="108"/>
      <c r="N126" s="108"/>
      <c r="O126" s="108"/>
      <c r="P126" s="108"/>
      <c r="Q126" s="108"/>
      <c r="R126" s="108"/>
      <c r="S126" s="109">
        <f t="shared" si="5"/>
        <v>0</v>
      </c>
      <c r="T126" s="108"/>
      <c r="U126" s="109"/>
      <c r="V126" s="109"/>
      <c r="W126" s="109"/>
      <c r="X126" s="108"/>
      <c r="Y126" s="110"/>
      <c r="Z126" s="111"/>
      <c r="AA126" s="111"/>
      <c r="AB126" s="111"/>
      <c r="AC126" s="110"/>
    </row>
    <row r="127" spans="1:29">
      <c r="A127" s="110">
        <v>22</v>
      </c>
      <c r="B127" s="238" t="s">
        <v>274</v>
      </c>
      <c r="C127" s="112">
        <f t="shared" si="4"/>
        <v>6267.3609999999999</v>
      </c>
      <c r="D127" s="113">
        <v>5454.3739999999998</v>
      </c>
      <c r="E127" s="113"/>
      <c r="F127" s="113">
        <f>6267361000/1000000</f>
        <v>6267.3609999999999</v>
      </c>
      <c r="G127" s="113"/>
      <c r="H127" s="113"/>
      <c r="I127" s="113"/>
      <c r="J127" s="113"/>
      <c r="K127" s="113"/>
      <c r="L127" s="113"/>
      <c r="M127" s="108"/>
      <c r="N127" s="108"/>
      <c r="O127" s="108"/>
      <c r="P127" s="108"/>
      <c r="Q127" s="108"/>
      <c r="R127" s="108"/>
      <c r="S127" s="109">
        <f t="shared" si="5"/>
        <v>0</v>
      </c>
      <c r="T127" s="108"/>
      <c r="U127" s="109"/>
      <c r="V127" s="109"/>
      <c r="W127" s="109"/>
      <c r="X127" s="108"/>
      <c r="Y127" s="110"/>
      <c r="Z127" s="111"/>
      <c r="AA127" s="111"/>
      <c r="AB127" s="111"/>
      <c r="AC127" s="110"/>
    </row>
    <row r="128" spans="1:29">
      <c r="A128" s="110">
        <v>23</v>
      </c>
      <c r="B128" s="238" t="s">
        <v>275</v>
      </c>
      <c r="C128" s="112">
        <f t="shared" si="4"/>
        <v>10037.334000000001</v>
      </c>
      <c r="D128" s="113">
        <v>10681.942999999999</v>
      </c>
      <c r="E128" s="113"/>
      <c r="F128" s="113">
        <f>10037334000/1000000</f>
        <v>10037.334000000001</v>
      </c>
      <c r="G128" s="113"/>
      <c r="H128" s="113"/>
      <c r="I128" s="113"/>
      <c r="J128" s="113"/>
      <c r="K128" s="113"/>
      <c r="L128" s="113"/>
      <c r="M128" s="108"/>
      <c r="N128" s="108"/>
      <c r="O128" s="108"/>
      <c r="P128" s="108"/>
      <c r="Q128" s="108"/>
      <c r="R128" s="108"/>
      <c r="S128" s="109">
        <f t="shared" si="5"/>
        <v>0</v>
      </c>
      <c r="T128" s="108"/>
      <c r="U128" s="109"/>
      <c r="V128" s="109"/>
      <c r="W128" s="109"/>
      <c r="X128" s="108"/>
      <c r="Y128" s="110"/>
      <c r="Z128" s="111"/>
      <c r="AA128" s="111"/>
      <c r="AB128" s="111"/>
      <c r="AC128" s="110"/>
    </row>
    <row r="129" spans="1:31">
      <c r="A129" s="110">
        <v>24</v>
      </c>
      <c r="B129" s="238" t="s">
        <v>276</v>
      </c>
      <c r="C129" s="112">
        <f t="shared" si="4"/>
        <v>7273.77</v>
      </c>
      <c r="D129" s="113">
        <v>8432.4940000000006</v>
      </c>
      <c r="E129" s="113"/>
      <c r="F129" s="113">
        <f>7273770000/1000000</f>
        <v>7273.77</v>
      </c>
      <c r="G129" s="113"/>
      <c r="H129" s="113"/>
      <c r="I129" s="113"/>
      <c r="J129" s="113"/>
      <c r="K129" s="113"/>
      <c r="L129" s="113"/>
      <c r="M129" s="108"/>
      <c r="N129" s="108"/>
      <c r="O129" s="108"/>
      <c r="P129" s="108"/>
      <c r="Q129" s="108"/>
      <c r="R129" s="108"/>
      <c r="S129" s="109">
        <f t="shared" si="5"/>
        <v>0</v>
      </c>
      <c r="T129" s="108"/>
      <c r="U129" s="109"/>
      <c r="V129" s="109"/>
      <c r="W129" s="109"/>
      <c r="X129" s="108"/>
      <c r="Y129" s="110"/>
      <c r="Z129" s="111"/>
      <c r="AA129" s="111"/>
      <c r="AB129" s="111"/>
      <c r="AC129" s="110"/>
    </row>
    <row r="130" spans="1:31">
      <c r="A130" s="110">
        <v>25</v>
      </c>
      <c r="B130" s="238" t="s">
        <v>277</v>
      </c>
      <c r="C130" s="112">
        <f t="shared" si="4"/>
        <v>18920.830999999998</v>
      </c>
      <c r="D130" s="113">
        <v>1801.568</v>
      </c>
      <c r="E130" s="113"/>
      <c r="F130" s="113">
        <f>18920831000/1000000</f>
        <v>18920.830999999998</v>
      </c>
      <c r="G130" s="113"/>
      <c r="H130" s="113"/>
      <c r="I130" s="113"/>
      <c r="J130" s="113"/>
      <c r="K130" s="113"/>
      <c r="L130" s="113"/>
      <c r="M130" s="108"/>
      <c r="N130" s="108"/>
      <c r="O130" s="108"/>
      <c r="P130" s="108"/>
      <c r="Q130" s="108"/>
      <c r="R130" s="108"/>
      <c r="S130" s="109">
        <f t="shared" si="5"/>
        <v>0</v>
      </c>
      <c r="T130" s="108"/>
      <c r="U130" s="109"/>
      <c r="V130" s="109"/>
      <c r="W130" s="109"/>
      <c r="X130" s="108"/>
      <c r="Y130" s="110"/>
      <c r="Z130" s="111"/>
      <c r="AA130" s="111"/>
      <c r="AB130" s="111"/>
      <c r="AC130" s="110"/>
    </row>
    <row r="131" spans="1:31">
      <c r="A131" s="110">
        <v>26</v>
      </c>
      <c r="B131" s="238" t="s">
        <v>278</v>
      </c>
      <c r="C131" s="112">
        <f t="shared" si="4"/>
        <v>18954.616999999998</v>
      </c>
      <c r="D131" s="113">
        <v>5809.7089999999998</v>
      </c>
      <c r="E131" s="113"/>
      <c r="F131" s="113">
        <f>18954617000/1000000</f>
        <v>18954.616999999998</v>
      </c>
      <c r="G131" s="113"/>
      <c r="H131" s="113"/>
      <c r="I131" s="113"/>
      <c r="J131" s="113"/>
      <c r="K131" s="113"/>
      <c r="L131" s="113"/>
      <c r="M131" s="108"/>
      <c r="N131" s="108"/>
      <c r="O131" s="108"/>
      <c r="P131" s="108"/>
      <c r="Q131" s="108"/>
      <c r="R131" s="108"/>
      <c r="S131" s="109">
        <f t="shared" si="5"/>
        <v>0</v>
      </c>
      <c r="T131" s="108"/>
      <c r="U131" s="109"/>
      <c r="V131" s="109"/>
      <c r="W131" s="109"/>
      <c r="X131" s="108"/>
      <c r="Y131" s="110"/>
      <c r="Z131" s="111"/>
      <c r="AA131" s="111"/>
      <c r="AB131" s="111"/>
      <c r="AC131" s="110"/>
    </row>
    <row r="132" spans="1:31">
      <c r="A132" s="110">
        <v>27</v>
      </c>
      <c r="B132" s="238" t="s">
        <v>279</v>
      </c>
      <c r="C132" s="112">
        <f t="shared" si="4"/>
        <v>3254.415</v>
      </c>
      <c r="D132" s="113">
        <v>8989.58</v>
      </c>
      <c r="E132" s="113"/>
      <c r="F132" s="113">
        <f>3254415000/1000000</f>
        <v>3254.415</v>
      </c>
      <c r="G132" s="113"/>
      <c r="H132" s="113"/>
      <c r="I132" s="113"/>
      <c r="J132" s="113"/>
      <c r="K132" s="113"/>
      <c r="L132" s="113"/>
      <c r="M132" s="108"/>
      <c r="N132" s="108"/>
      <c r="O132" s="108"/>
      <c r="P132" s="108"/>
      <c r="Q132" s="108"/>
      <c r="R132" s="108"/>
      <c r="S132" s="109">
        <f t="shared" si="5"/>
        <v>0</v>
      </c>
      <c r="T132" s="108"/>
      <c r="U132" s="109"/>
      <c r="V132" s="109"/>
      <c r="W132" s="109"/>
      <c r="X132" s="108"/>
      <c r="Y132" s="110"/>
      <c r="Z132" s="111"/>
      <c r="AA132" s="111"/>
      <c r="AB132" s="111"/>
      <c r="AC132" s="110"/>
    </row>
    <row r="133" spans="1:31">
      <c r="A133" s="110">
        <v>28</v>
      </c>
      <c r="B133" s="238" t="s">
        <v>280</v>
      </c>
      <c r="C133" s="112">
        <f t="shared" si="4"/>
        <v>10098.868</v>
      </c>
      <c r="D133" s="113">
        <v>9851.7950000000001</v>
      </c>
      <c r="E133" s="113"/>
      <c r="F133" s="113">
        <f>10098868000/1000000</f>
        <v>10098.868</v>
      </c>
      <c r="G133" s="113"/>
      <c r="H133" s="113"/>
      <c r="I133" s="113"/>
      <c r="J133" s="113"/>
      <c r="K133" s="113"/>
      <c r="L133" s="113"/>
      <c r="M133" s="108"/>
      <c r="N133" s="108"/>
      <c r="O133" s="108"/>
      <c r="P133" s="108"/>
      <c r="Q133" s="108"/>
      <c r="R133" s="108"/>
      <c r="S133" s="109">
        <f t="shared" si="5"/>
        <v>0</v>
      </c>
      <c r="T133" s="108"/>
      <c r="U133" s="109"/>
      <c r="V133" s="109"/>
      <c r="W133" s="109"/>
      <c r="X133" s="108"/>
      <c r="Y133" s="110"/>
      <c r="Z133" s="111"/>
      <c r="AA133" s="111"/>
      <c r="AB133" s="111"/>
      <c r="AC133" s="110"/>
    </row>
    <row r="134" spans="1:31">
      <c r="A134" s="110">
        <v>29</v>
      </c>
      <c r="B134" s="238" t="s">
        <v>281</v>
      </c>
      <c r="C134" s="112">
        <f t="shared" si="4"/>
        <v>14062.328</v>
      </c>
      <c r="D134" s="113">
        <v>8040.152</v>
      </c>
      <c r="E134" s="113"/>
      <c r="F134" s="113">
        <f>14062328000/1000000</f>
        <v>14062.328</v>
      </c>
      <c r="G134" s="113"/>
      <c r="H134" s="113"/>
      <c r="I134" s="113"/>
      <c r="J134" s="113"/>
      <c r="K134" s="113"/>
      <c r="L134" s="113"/>
      <c r="M134" s="108"/>
      <c r="N134" s="108"/>
      <c r="O134" s="108"/>
      <c r="P134" s="108"/>
      <c r="Q134" s="108"/>
      <c r="R134" s="108"/>
      <c r="S134" s="109">
        <f t="shared" si="5"/>
        <v>0</v>
      </c>
      <c r="T134" s="108"/>
      <c r="U134" s="109"/>
      <c r="V134" s="109"/>
      <c r="W134" s="109"/>
      <c r="X134" s="108"/>
      <c r="Y134" s="110"/>
      <c r="Z134" s="111"/>
      <c r="AA134" s="111"/>
      <c r="AB134" s="111"/>
      <c r="AC134" s="110"/>
    </row>
    <row r="135" spans="1:31">
      <c r="A135" s="110">
        <v>30</v>
      </c>
      <c r="B135" s="238" t="s">
        <v>282</v>
      </c>
      <c r="C135" s="112">
        <f t="shared" si="4"/>
        <v>20929.661</v>
      </c>
      <c r="D135" s="113">
        <v>1752.4929999999999</v>
      </c>
      <c r="E135" s="113"/>
      <c r="F135" s="113">
        <f>20929661000/1000000</f>
        <v>20929.661</v>
      </c>
      <c r="G135" s="113"/>
      <c r="H135" s="113"/>
      <c r="I135" s="113"/>
      <c r="J135" s="113"/>
      <c r="K135" s="113"/>
      <c r="L135" s="113"/>
      <c r="M135" s="108"/>
      <c r="N135" s="108"/>
      <c r="O135" s="108"/>
      <c r="P135" s="108"/>
      <c r="Q135" s="108"/>
      <c r="R135" s="108"/>
      <c r="S135" s="109">
        <f t="shared" si="5"/>
        <v>0</v>
      </c>
      <c r="T135" s="108"/>
      <c r="U135" s="109"/>
      <c r="V135" s="109"/>
      <c r="W135" s="109"/>
      <c r="X135" s="108"/>
      <c r="Y135" s="110"/>
      <c r="Z135" s="111"/>
      <c r="AA135" s="111"/>
      <c r="AB135" s="111"/>
      <c r="AC135" s="110"/>
    </row>
    <row r="136" spans="1:31">
      <c r="A136" s="110">
        <v>31</v>
      </c>
      <c r="B136" s="238" t="s">
        <v>285</v>
      </c>
      <c r="C136" s="112">
        <f t="shared" si="4"/>
        <v>17503.38</v>
      </c>
      <c r="D136" s="113">
        <v>8071.0839999999998</v>
      </c>
      <c r="E136" s="113"/>
      <c r="F136" s="113">
        <f>17503380000/1000000</f>
        <v>17503.38</v>
      </c>
      <c r="G136" s="113"/>
      <c r="H136" s="113"/>
      <c r="I136" s="113"/>
      <c r="J136" s="113"/>
      <c r="K136" s="113"/>
      <c r="L136" s="113"/>
      <c r="M136" s="108"/>
      <c r="N136" s="108"/>
      <c r="O136" s="108"/>
      <c r="P136" s="108"/>
      <c r="Q136" s="108"/>
      <c r="R136" s="108"/>
      <c r="S136" s="109">
        <f t="shared" si="5"/>
        <v>0</v>
      </c>
      <c r="T136" s="108"/>
      <c r="U136" s="109"/>
      <c r="V136" s="109"/>
      <c r="W136" s="109"/>
      <c r="X136" s="108"/>
      <c r="Y136" s="110"/>
      <c r="Z136" s="111"/>
      <c r="AA136" s="111"/>
      <c r="AB136" s="111"/>
      <c r="AC136" s="110"/>
    </row>
    <row r="137" spans="1:31">
      <c r="A137" s="110">
        <v>32</v>
      </c>
      <c r="B137" s="238" t="s">
        <v>283</v>
      </c>
      <c r="C137" s="112">
        <f t="shared" si="4"/>
        <v>23963.734</v>
      </c>
      <c r="D137" s="113">
        <v>510</v>
      </c>
      <c r="E137" s="113"/>
      <c r="F137" s="113">
        <f>23963734000/1000000</f>
        <v>23963.734</v>
      </c>
      <c r="G137" s="113"/>
      <c r="H137" s="113"/>
      <c r="I137" s="113"/>
      <c r="J137" s="113"/>
      <c r="K137" s="113"/>
      <c r="L137" s="113"/>
      <c r="M137" s="108"/>
      <c r="N137" s="108"/>
      <c r="O137" s="108"/>
      <c r="P137" s="108"/>
      <c r="Q137" s="108"/>
      <c r="R137" s="108"/>
      <c r="S137" s="109">
        <f>SUM(T137:X137)</f>
        <v>0</v>
      </c>
      <c r="T137" s="108"/>
      <c r="U137" s="109"/>
      <c r="V137" s="109"/>
      <c r="W137" s="109"/>
      <c r="X137" s="108"/>
      <c r="Y137" s="110"/>
      <c r="Z137" s="111"/>
      <c r="AA137" s="111"/>
      <c r="AB137" s="111"/>
      <c r="AC137" s="110"/>
    </row>
    <row r="138" spans="1:31">
      <c r="A138" s="110">
        <v>33</v>
      </c>
      <c r="B138" s="238" t="s">
        <v>284</v>
      </c>
      <c r="C138" s="112">
        <f t="shared" si="4"/>
        <v>3371.567</v>
      </c>
      <c r="D138" s="113">
        <v>1780</v>
      </c>
      <c r="E138" s="113"/>
      <c r="F138" s="113">
        <f>3371567000/1000000</f>
        <v>3371.567</v>
      </c>
      <c r="G138" s="113"/>
      <c r="H138" s="113"/>
      <c r="I138" s="113"/>
      <c r="J138" s="113"/>
      <c r="K138" s="113"/>
      <c r="L138" s="113"/>
      <c r="M138" s="108"/>
      <c r="N138" s="108"/>
      <c r="O138" s="108"/>
      <c r="P138" s="108"/>
      <c r="Q138" s="108"/>
      <c r="R138" s="108"/>
      <c r="S138" s="109">
        <f t="shared" si="5"/>
        <v>0</v>
      </c>
      <c r="T138" s="108"/>
      <c r="U138" s="109"/>
      <c r="V138" s="109"/>
      <c r="W138" s="109"/>
      <c r="X138" s="108"/>
      <c r="Y138" s="110"/>
      <c r="Z138" s="111"/>
      <c r="AA138" s="111"/>
      <c r="AB138" s="111"/>
      <c r="AC138" s="110"/>
    </row>
    <row r="139" spans="1:31">
      <c r="A139" s="117">
        <v>34</v>
      </c>
      <c r="B139" s="239" t="s">
        <v>397</v>
      </c>
      <c r="C139" s="112">
        <f t="shared" si="4"/>
        <v>11018.074000000001</v>
      </c>
      <c r="D139" s="118"/>
      <c r="E139" s="118"/>
      <c r="F139" s="118">
        <f>11018074000/1000000</f>
        <v>11018.074000000001</v>
      </c>
      <c r="G139" s="118"/>
      <c r="H139" s="118"/>
      <c r="I139" s="118"/>
      <c r="J139" s="118"/>
      <c r="K139" s="118"/>
      <c r="L139" s="118"/>
      <c r="M139" s="108"/>
      <c r="N139" s="108"/>
      <c r="O139" s="108"/>
      <c r="P139" s="108"/>
      <c r="Q139" s="108"/>
      <c r="R139" s="108"/>
      <c r="S139" s="109"/>
      <c r="T139" s="108"/>
      <c r="U139" s="109"/>
      <c r="V139" s="109"/>
      <c r="W139" s="109"/>
      <c r="X139" s="108"/>
      <c r="Y139" s="110"/>
      <c r="Z139" s="111"/>
      <c r="AA139" s="111"/>
      <c r="AB139" s="111"/>
      <c r="AC139" s="110"/>
    </row>
    <row r="140" spans="1:31">
      <c r="A140" s="87"/>
      <c r="B140" s="240" t="s">
        <v>398</v>
      </c>
      <c r="C140" s="119">
        <f t="shared" si="4"/>
        <v>9618</v>
      </c>
      <c r="D140" s="120">
        <v>2758.3020000000001</v>
      </c>
      <c r="E140" s="120"/>
      <c r="F140" s="121">
        <f>SUM(F141:F143)</f>
        <v>9618</v>
      </c>
      <c r="G140" s="120"/>
      <c r="H140" s="120"/>
      <c r="I140" s="120"/>
      <c r="J140" s="120"/>
      <c r="K140" s="120"/>
      <c r="L140" s="120"/>
      <c r="M140" s="108"/>
      <c r="N140" s="108"/>
      <c r="O140" s="108"/>
      <c r="P140" s="108"/>
      <c r="Q140" s="108"/>
      <c r="R140" s="108"/>
      <c r="S140" s="109">
        <f t="shared" si="5"/>
        <v>0</v>
      </c>
      <c r="T140" s="108"/>
      <c r="U140" s="109"/>
      <c r="V140" s="109"/>
      <c r="W140" s="109"/>
      <c r="X140" s="108"/>
      <c r="Y140" s="110"/>
      <c r="Z140" s="111"/>
      <c r="AA140" s="111"/>
      <c r="AB140" s="111"/>
      <c r="AC140" s="110"/>
    </row>
    <row r="141" spans="1:31">
      <c r="A141" s="105">
        <v>1</v>
      </c>
      <c r="B141" s="241" t="s">
        <v>400</v>
      </c>
      <c r="C141" s="106">
        <f t="shared" si="4"/>
        <v>136</v>
      </c>
      <c r="D141" s="122">
        <v>6800</v>
      </c>
      <c r="E141" s="122"/>
      <c r="F141" s="122">
        <v>136</v>
      </c>
      <c r="G141" s="122"/>
      <c r="H141" s="122"/>
      <c r="I141" s="122"/>
      <c r="J141" s="122"/>
      <c r="K141" s="122"/>
      <c r="L141" s="122"/>
      <c r="M141" s="108"/>
      <c r="N141" s="108"/>
      <c r="O141" s="108"/>
      <c r="P141" s="108"/>
      <c r="Q141" s="108"/>
      <c r="R141" s="108"/>
      <c r="S141" s="109">
        <f t="shared" si="5"/>
        <v>0</v>
      </c>
      <c r="T141" s="108"/>
      <c r="U141" s="109"/>
      <c r="V141" s="109"/>
      <c r="W141" s="109"/>
      <c r="X141" s="108"/>
      <c r="Y141" s="110"/>
      <c r="Z141" s="111"/>
      <c r="AA141" s="111"/>
      <c r="AB141" s="111"/>
      <c r="AC141" s="110"/>
    </row>
    <row r="142" spans="1:31">
      <c r="A142" s="105">
        <v>2</v>
      </c>
      <c r="B142" s="241" t="s">
        <v>399</v>
      </c>
      <c r="C142" s="106">
        <f t="shared" si="4"/>
        <v>3400</v>
      </c>
      <c r="D142" s="122"/>
      <c r="E142" s="122"/>
      <c r="F142" s="122">
        <v>3400</v>
      </c>
      <c r="G142" s="122"/>
      <c r="H142" s="122"/>
      <c r="I142" s="122"/>
      <c r="J142" s="122"/>
      <c r="K142" s="122"/>
      <c r="L142" s="122"/>
      <c r="M142" s="108"/>
      <c r="N142" s="108"/>
      <c r="O142" s="108"/>
      <c r="P142" s="108"/>
      <c r="Q142" s="108"/>
      <c r="R142" s="108"/>
      <c r="S142" s="109"/>
      <c r="T142" s="108"/>
      <c r="U142" s="109"/>
      <c r="V142" s="109"/>
      <c r="W142" s="109"/>
      <c r="X142" s="108"/>
      <c r="Y142" s="110"/>
      <c r="Z142" s="111"/>
      <c r="AA142" s="111"/>
      <c r="AB142" s="111"/>
      <c r="AC142" s="110"/>
      <c r="AE142" s="80"/>
    </row>
    <row r="143" spans="1:31">
      <c r="A143" s="117">
        <v>3</v>
      </c>
      <c r="B143" s="239" t="s">
        <v>286</v>
      </c>
      <c r="C143" s="123">
        <f t="shared" si="4"/>
        <v>6082</v>
      </c>
      <c r="D143" s="124">
        <f>SUM(D144:D146)</f>
        <v>708.18700000000001</v>
      </c>
      <c r="E143" s="124"/>
      <c r="F143" s="124">
        <v>6082</v>
      </c>
      <c r="G143" s="124"/>
      <c r="H143" s="124"/>
      <c r="I143" s="124"/>
      <c r="J143" s="124"/>
      <c r="K143" s="124"/>
      <c r="L143" s="124"/>
      <c r="M143" s="108">
        <f t="shared" ref="M143:X143" si="6">SUM(M144:M146)</f>
        <v>0</v>
      </c>
      <c r="N143" s="108">
        <f t="shared" si="6"/>
        <v>0</v>
      </c>
      <c r="O143" s="108">
        <f t="shared" si="6"/>
        <v>0</v>
      </c>
      <c r="P143" s="108">
        <f t="shared" si="6"/>
        <v>0</v>
      </c>
      <c r="Q143" s="108">
        <f t="shared" si="6"/>
        <v>0</v>
      </c>
      <c r="R143" s="108">
        <f t="shared" si="6"/>
        <v>0</v>
      </c>
      <c r="S143" s="108">
        <f>SUM(S144:S146)</f>
        <v>0</v>
      </c>
      <c r="T143" s="108">
        <f t="shared" si="6"/>
        <v>0</v>
      </c>
      <c r="U143" s="108">
        <f>SUM(U144:U146)</f>
        <v>0</v>
      </c>
      <c r="V143" s="108">
        <f>SUM(V144:V146)</f>
        <v>0</v>
      </c>
      <c r="W143" s="108"/>
      <c r="X143" s="108">
        <f t="shared" si="6"/>
        <v>0</v>
      </c>
      <c r="Y143" s="108">
        <f>SUM(Y144:Y146)</f>
        <v>0</v>
      </c>
      <c r="Z143" s="111">
        <f>SUM(Z144:Z146)</f>
        <v>0</v>
      </c>
      <c r="AA143" s="111">
        <f>SUM(AA144:AA146)</f>
        <v>0</v>
      </c>
      <c r="AB143" s="111">
        <f>SUM(AB144:AB146)</f>
        <v>0</v>
      </c>
      <c r="AC143" s="110"/>
    </row>
    <row r="144" spans="1:31">
      <c r="A144" s="87"/>
      <c r="B144" s="242" t="s">
        <v>401</v>
      </c>
      <c r="C144" s="119">
        <f t="shared" si="4"/>
        <v>10000</v>
      </c>
      <c r="D144" s="125">
        <v>277.08699999999999</v>
      </c>
      <c r="E144" s="125"/>
      <c r="F144" s="119">
        <v>10000</v>
      </c>
      <c r="G144" s="125"/>
      <c r="H144" s="125"/>
      <c r="I144" s="125"/>
      <c r="J144" s="125"/>
      <c r="K144" s="125"/>
      <c r="L144" s="125"/>
      <c r="M144" s="108"/>
      <c r="N144" s="108"/>
      <c r="O144" s="108"/>
      <c r="P144" s="108"/>
      <c r="Q144" s="108"/>
      <c r="R144" s="108"/>
      <c r="S144" s="108"/>
      <c r="T144" s="108"/>
      <c r="U144" s="109"/>
      <c r="V144" s="109"/>
      <c r="W144" s="109"/>
      <c r="X144" s="108"/>
      <c r="Y144" s="110"/>
      <c r="Z144" s="111"/>
      <c r="AA144" s="111"/>
      <c r="AB144" s="111"/>
      <c r="AC144" s="110"/>
    </row>
    <row r="145" spans="1:31">
      <c r="A145" s="87"/>
      <c r="B145" s="243" t="s">
        <v>429</v>
      </c>
      <c r="C145" s="119">
        <f t="shared" si="4"/>
        <v>51574</v>
      </c>
      <c r="D145" s="125"/>
      <c r="E145" s="125"/>
      <c r="F145" s="119">
        <f>3207+48367</f>
        <v>51574</v>
      </c>
      <c r="G145" s="125"/>
      <c r="H145" s="125"/>
      <c r="I145" s="125"/>
      <c r="J145" s="125"/>
      <c r="K145" s="125"/>
      <c r="L145" s="125"/>
      <c r="M145" s="108"/>
      <c r="N145" s="108"/>
      <c r="O145" s="108"/>
      <c r="P145" s="108"/>
      <c r="Q145" s="108"/>
      <c r="R145" s="108"/>
      <c r="S145" s="108"/>
      <c r="T145" s="108"/>
      <c r="U145" s="109"/>
      <c r="V145" s="109"/>
      <c r="W145" s="109"/>
      <c r="X145" s="108"/>
      <c r="Y145" s="110"/>
      <c r="Z145" s="111"/>
      <c r="AA145" s="111"/>
      <c r="AB145" s="111"/>
      <c r="AC145" s="110"/>
    </row>
    <row r="146" spans="1:31">
      <c r="A146" s="87"/>
      <c r="B146" s="242" t="s">
        <v>402</v>
      </c>
      <c r="C146" s="119">
        <f t="shared" si="4"/>
        <v>11951</v>
      </c>
      <c r="D146" s="125">
        <v>431.1</v>
      </c>
      <c r="E146" s="125"/>
      <c r="F146" s="119">
        <v>11951</v>
      </c>
      <c r="G146" s="125"/>
      <c r="H146" s="125"/>
      <c r="I146" s="125"/>
      <c r="J146" s="125"/>
      <c r="K146" s="125"/>
      <c r="L146" s="125"/>
      <c r="M146" s="108"/>
      <c r="N146" s="108"/>
      <c r="O146" s="108"/>
      <c r="P146" s="108"/>
      <c r="Q146" s="108"/>
      <c r="R146" s="108"/>
      <c r="S146" s="108"/>
      <c r="T146" s="108"/>
      <c r="U146" s="109"/>
      <c r="V146" s="109"/>
      <c r="W146" s="109"/>
      <c r="X146" s="108"/>
      <c r="Y146" s="110"/>
      <c r="Z146" s="111"/>
      <c r="AA146" s="111"/>
      <c r="AB146" s="111"/>
      <c r="AC146" s="110"/>
    </row>
    <row r="147" spans="1:31" ht="20.399999999999999">
      <c r="A147" s="126" t="s">
        <v>17</v>
      </c>
      <c r="B147" s="126" t="s">
        <v>287</v>
      </c>
      <c r="C147" s="95">
        <f t="shared" ref="C147:I147" si="7">SUM(C148:C160)</f>
        <v>842457</v>
      </c>
      <c r="D147" s="95">
        <f t="shared" si="7"/>
        <v>3879</v>
      </c>
      <c r="E147" s="95">
        <f t="shared" si="7"/>
        <v>0</v>
      </c>
      <c r="F147" s="95">
        <f t="shared" si="7"/>
        <v>842457</v>
      </c>
      <c r="G147" s="95">
        <f t="shared" si="7"/>
        <v>0</v>
      </c>
      <c r="H147" s="95">
        <f t="shared" si="7"/>
        <v>0</v>
      </c>
      <c r="I147" s="95">
        <f t="shared" si="7"/>
        <v>0</v>
      </c>
      <c r="J147" s="95"/>
      <c r="K147" s="95"/>
      <c r="L147" s="95"/>
      <c r="M147" s="127">
        <f t="shared" ref="M147:AB147" si="8">SUM(M148:M179)</f>
        <v>0</v>
      </c>
      <c r="N147" s="127">
        <f t="shared" si="8"/>
        <v>0</v>
      </c>
      <c r="O147" s="127">
        <f t="shared" si="8"/>
        <v>8941</v>
      </c>
      <c r="P147" s="127">
        <f t="shared" si="8"/>
        <v>1009</v>
      </c>
      <c r="Q147" s="127">
        <f t="shared" si="8"/>
        <v>0</v>
      </c>
      <c r="R147" s="127">
        <f t="shared" si="8"/>
        <v>249574</v>
      </c>
      <c r="S147" s="127">
        <f t="shared" si="8"/>
        <v>197156</v>
      </c>
      <c r="T147" s="127">
        <f t="shared" si="8"/>
        <v>67174</v>
      </c>
      <c r="U147" s="127">
        <f t="shared" si="8"/>
        <v>9263</v>
      </c>
      <c r="V147" s="127">
        <f t="shared" si="8"/>
        <v>116748</v>
      </c>
      <c r="W147" s="127">
        <f t="shared" si="8"/>
        <v>511</v>
      </c>
      <c r="X147" s="127">
        <f t="shared" si="8"/>
        <v>3460</v>
      </c>
      <c r="Y147" s="127">
        <f t="shared" si="8"/>
        <v>65792.016000000003</v>
      </c>
      <c r="Z147" s="128">
        <f t="shared" si="8"/>
        <v>105745</v>
      </c>
      <c r="AA147" s="128">
        <f t="shared" si="8"/>
        <v>0</v>
      </c>
      <c r="AB147" s="128">
        <f t="shared" si="8"/>
        <v>0</v>
      </c>
      <c r="AC147" s="110"/>
      <c r="AD147" s="80"/>
    </row>
    <row r="148" spans="1:31">
      <c r="A148" s="105">
        <v>1</v>
      </c>
      <c r="B148" s="105" t="s">
        <v>288</v>
      </c>
      <c r="C148" s="106">
        <f>F148</f>
        <v>12384</v>
      </c>
      <c r="D148" s="122"/>
      <c r="E148" s="122"/>
      <c r="F148" s="122">
        <f>7384+5000</f>
        <v>12384</v>
      </c>
      <c r="G148" s="122"/>
      <c r="H148" s="122"/>
      <c r="I148" s="122"/>
      <c r="J148" s="122"/>
      <c r="K148" s="122"/>
      <c r="L148" s="122"/>
      <c r="M148" s="108"/>
      <c r="N148" s="108"/>
      <c r="O148" s="108"/>
      <c r="P148" s="108"/>
      <c r="Q148" s="108"/>
      <c r="R148" s="108"/>
      <c r="S148" s="109">
        <f t="shared" ref="S148:S179" si="9">SUM(T148:X148)</f>
        <v>0</v>
      </c>
      <c r="T148" s="108"/>
      <c r="U148" s="109"/>
      <c r="V148" s="109"/>
      <c r="W148" s="109"/>
      <c r="X148" s="108"/>
      <c r="Y148" s="108">
        <f>8641.97+1050</f>
        <v>9691.9699999999993</v>
      </c>
      <c r="Z148" s="111"/>
      <c r="AA148" s="111"/>
      <c r="AB148" s="111"/>
      <c r="AC148" s="110"/>
      <c r="AD148" s="80"/>
    </row>
    <row r="149" spans="1:31">
      <c r="A149" s="110">
        <f>A148+1</f>
        <v>2</v>
      </c>
      <c r="B149" s="110" t="s">
        <v>291</v>
      </c>
      <c r="C149" s="106">
        <f>F149+G149+H149+I149+J149</f>
        <v>4798</v>
      </c>
      <c r="D149" s="108"/>
      <c r="E149" s="108"/>
      <c r="F149" s="108">
        <f>2763+983+540+220+292</f>
        <v>4798</v>
      </c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9">
        <f>SUM(T149:X149)</f>
        <v>3971</v>
      </c>
      <c r="T149" s="108"/>
      <c r="U149" s="109"/>
      <c r="V149" s="109"/>
      <c r="W149" s="109">
        <v>511</v>
      </c>
      <c r="X149" s="108">
        <f>325+2965+170</f>
        <v>3460</v>
      </c>
      <c r="Y149" s="108">
        <v>2239.5830000000001</v>
      </c>
      <c r="Z149" s="111"/>
      <c r="AA149" s="111"/>
      <c r="AB149" s="111"/>
      <c r="AC149" s="110"/>
      <c r="AE149" s="80"/>
    </row>
    <row r="150" spans="1:31">
      <c r="A150" s="110">
        <f t="shared" ref="A150:A159" si="10">A149+1</f>
        <v>3</v>
      </c>
      <c r="B150" s="110" t="s">
        <v>131</v>
      </c>
      <c r="C150" s="106">
        <f t="shared" ref="C150:C160" si="11">F150+G150+H150+I150+J150</f>
        <v>2209</v>
      </c>
      <c r="D150" s="108"/>
      <c r="E150" s="108"/>
      <c r="F150" s="108">
        <f>1799+410</f>
        <v>2209</v>
      </c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9">
        <f t="shared" si="9"/>
        <v>0</v>
      </c>
      <c r="T150" s="108"/>
      <c r="U150" s="109"/>
      <c r="V150" s="109"/>
      <c r="W150" s="109"/>
      <c r="X150" s="108"/>
      <c r="Y150" s="108">
        <v>1814.3420000000001</v>
      </c>
      <c r="Z150" s="111"/>
      <c r="AA150" s="111"/>
      <c r="AB150" s="111"/>
      <c r="AC150" s="110"/>
    </row>
    <row r="151" spans="1:31">
      <c r="A151" s="110">
        <f t="shared" si="10"/>
        <v>4</v>
      </c>
      <c r="B151" s="110" t="s">
        <v>292</v>
      </c>
      <c r="C151" s="106">
        <f t="shared" si="11"/>
        <v>6191</v>
      </c>
      <c r="D151" s="108"/>
      <c r="E151" s="108"/>
      <c r="F151" s="108">
        <f>4401+1790</f>
        <v>6191</v>
      </c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9">
        <f t="shared" si="9"/>
        <v>0</v>
      </c>
      <c r="T151" s="108"/>
      <c r="U151" s="109"/>
      <c r="V151" s="109"/>
      <c r="W151" s="109"/>
      <c r="X151" s="108"/>
      <c r="Y151" s="108">
        <v>4559.4139999999998</v>
      </c>
      <c r="Z151" s="111"/>
      <c r="AA151" s="111"/>
      <c r="AB151" s="111"/>
      <c r="AC151" s="110"/>
      <c r="AE151" s="237"/>
    </row>
    <row r="152" spans="1:31">
      <c r="A152" s="110">
        <f t="shared" si="10"/>
        <v>5</v>
      </c>
      <c r="B152" s="110" t="s">
        <v>293</v>
      </c>
      <c r="C152" s="106">
        <f t="shared" si="11"/>
        <v>296806</v>
      </c>
      <c r="D152" s="108"/>
      <c r="E152" s="108"/>
      <c r="F152" s="108">
        <f>4204+95+66849+147589+44374+33695</f>
        <v>296806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>
        <f>244944+2030</f>
        <v>246974</v>
      </c>
      <c r="S152" s="109">
        <f t="shared" si="9"/>
        <v>183922</v>
      </c>
      <c r="T152" s="108">
        <v>67174</v>
      </c>
      <c r="U152" s="109"/>
      <c r="V152" s="109">
        <v>116748</v>
      </c>
      <c r="W152" s="109"/>
      <c r="X152" s="108"/>
      <c r="Y152" s="108">
        <v>3539.569</v>
      </c>
      <c r="Z152" s="111"/>
      <c r="AA152" s="111"/>
      <c r="AB152" s="111"/>
      <c r="AC152" s="110"/>
    </row>
    <row r="153" spans="1:31">
      <c r="A153" s="110">
        <f t="shared" si="10"/>
        <v>6</v>
      </c>
      <c r="B153" s="110" t="s">
        <v>294</v>
      </c>
      <c r="C153" s="106">
        <f t="shared" si="11"/>
        <v>4722</v>
      </c>
      <c r="D153" s="108"/>
      <c r="E153" s="108"/>
      <c r="F153" s="108">
        <v>4722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9">
        <f t="shared" si="9"/>
        <v>0</v>
      </c>
      <c r="T153" s="108"/>
      <c r="U153" s="109"/>
      <c r="V153" s="109"/>
      <c r="W153" s="109"/>
      <c r="X153" s="108"/>
      <c r="Y153" s="108">
        <v>3660.4740000000002</v>
      </c>
      <c r="Z153" s="111"/>
      <c r="AA153" s="111"/>
      <c r="AB153" s="111"/>
      <c r="AC153" s="110"/>
    </row>
    <row r="154" spans="1:31">
      <c r="A154" s="110">
        <f t="shared" si="10"/>
        <v>7</v>
      </c>
      <c r="B154" s="110" t="s">
        <v>295</v>
      </c>
      <c r="C154" s="106">
        <f t="shared" si="11"/>
        <v>2036</v>
      </c>
      <c r="D154" s="108"/>
      <c r="E154" s="108"/>
      <c r="F154" s="108">
        <f>1246+790</f>
        <v>2036</v>
      </c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9">
        <f t="shared" si="9"/>
        <v>0</v>
      </c>
      <c r="T154" s="108"/>
      <c r="U154" s="109"/>
      <c r="V154" s="109"/>
      <c r="W154" s="109"/>
      <c r="X154" s="108"/>
      <c r="Y154" s="108">
        <v>1340.605</v>
      </c>
      <c r="Z154" s="111"/>
      <c r="AA154" s="111"/>
      <c r="AB154" s="111"/>
      <c r="AC154" s="110"/>
    </row>
    <row r="155" spans="1:31">
      <c r="A155" s="110">
        <f t="shared" si="10"/>
        <v>8</v>
      </c>
      <c r="B155" s="110" t="s">
        <v>296</v>
      </c>
      <c r="C155" s="106">
        <f t="shared" si="11"/>
        <v>209951</v>
      </c>
      <c r="D155" s="108"/>
      <c r="E155" s="108"/>
      <c r="F155" s="236">
        <f>2237+130+182724+8835+16025</f>
        <v>209951</v>
      </c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9">
        <f t="shared" si="9"/>
        <v>0</v>
      </c>
      <c r="T155" s="108"/>
      <c r="U155" s="109"/>
      <c r="V155" s="109"/>
      <c r="W155" s="109"/>
      <c r="X155" s="108"/>
      <c r="Y155" s="108">
        <v>1939.095</v>
      </c>
      <c r="Z155" s="109">
        <f>104895+850</f>
        <v>105745</v>
      </c>
      <c r="AA155" s="109"/>
      <c r="AB155" s="109"/>
      <c r="AC155" s="110"/>
    </row>
    <row r="156" spans="1:31" hidden="1">
      <c r="A156" s="110"/>
      <c r="B156" s="110" t="s">
        <v>297</v>
      </c>
      <c r="C156" s="106">
        <f t="shared" si="11"/>
        <v>0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9"/>
      <c r="T156" s="108"/>
      <c r="U156" s="109"/>
      <c r="V156" s="109"/>
      <c r="W156" s="109"/>
      <c r="X156" s="108"/>
      <c r="Y156" s="108">
        <v>100</v>
      </c>
      <c r="Z156" s="109"/>
      <c r="AA156" s="109"/>
      <c r="AB156" s="109"/>
      <c r="AC156" s="110"/>
    </row>
    <row r="157" spans="1:31">
      <c r="A157" s="110">
        <f>A155+1</f>
        <v>9</v>
      </c>
      <c r="B157" s="110" t="s">
        <v>298</v>
      </c>
      <c r="C157" s="106">
        <f t="shared" si="11"/>
        <v>23522</v>
      </c>
      <c r="D157" s="108"/>
      <c r="E157" s="108"/>
      <c r="F157" s="108">
        <f>2352+200+2000+200+1800+14790+2180</f>
        <v>23522</v>
      </c>
      <c r="G157" s="108"/>
      <c r="H157" s="108"/>
      <c r="I157" s="108"/>
      <c r="J157" s="108"/>
      <c r="K157" s="108"/>
      <c r="L157" s="108"/>
      <c r="M157" s="108"/>
      <c r="N157" s="108"/>
      <c r="O157" s="108">
        <f>773+7166+1002</f>
        <v>8941</v>
      </c>
      <c r="P157" s="108">
        <v>1009</v>
      </c>
      <c r="Q157" s="108"/>
      <c r="R157" s="108"/>
      <c r="S157" s="109">
        <f t="shared" si="9"/>
        <v>0</v>
      </c>
      <c r="T157" s="108"/>
      <c r="U157" s="109"/>
      <c r="V157" s="109"/>
      <c r="W157" s="109"/>
      <c r="X157" s="108"/>
      <c r="Y157" s="108">
        <v>1965.386</v>
      </c>
      <c r="Z157" s="111"/>
      <c r="AA157" s="111"/>
      <c r="AB157" s="111"/>
      <c r="AC157" s="110"/>
    </row>
    <row r="158" spans="1:31">
      <c r="A158" s="110">
        <f t="shared" si="10"/>
        <v>10</v>
      </c>
      <c r="B158" s="110" t="s">
        <v>299</v>
      </c>
      <c r="C158" s="106">
        <f t="shared" si="11"/>
        <v>263933</v>
      </c>
      <c r="D158" s="108"/>
      <c r="E158" s="108"/>
      <c r="F158" s="108">
        <f>3724+257+2816+257136</f>
        <v>263933</v>
      </c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>
        <v>2600</v>
      </c>
      <c r="S158" s="109">
        <f t="shared" si="9"/>
        <v>9263</v>
      </c>
      <c r="T158" s="108"/>
      <c r="U158" s="109">
        <v>9263</v>
      </c>
      <c r="V158" s="109"/>
      <c r="W158" s="109"/>
      <c r="X158" s="108"/>
      <c r="Y158" s="108">
        <v>3001.7860000000001</v>
      </c>
      <c r="Z158" s="111"/>
      <c r="AA158" s="111"/>
      <c r="AB158" s="111"/>
      <c r="AC158" s="110"/>
    </row>
    <row r="159" spans="1:31">
      <c r="A159" s="110">
        <f t="shared" si="10"/>
        <v>11</v>
      </c>
      <c r="B159" s="110" t="s">
        <v>300</v>
      </c>
      <c r="C159" s="106">
        <f t="shared" si="11"/>
        <v>13292</v>
      </c>
      <c r="D159" s="108">
        <v>3879</v>
      </c>
      <c r="E159" s="108"/>
      <c r="F159" s="108">
        <f>2935+10062+295</f>
        <v>13292</v>
      </c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9">
        <f t="shared" si="9"/>
        <v>0</v>
      </c>
      <c r="T159" s="108"/>
      <c r="U159" s="109"/>
      <c r="V159" s="109"/>
      <c r="W159" s="109"/>
      <c r="X159" s="108"/>
      <c r="Y159" s="108">
        <f>2896.046+5186</f>
        <v>8082.0460000000003</v>
      </c>
      <c r="Z159" s="111"/>
      <c r="AA159" s="111"/>
      <c r="AB159" s="111"/>
      <c r="AC159" s="110"/>
    </row>
    <row r="160" spans="1:31">
      <c r="A160" s="110">
        <f>A159+1</f>
        <v>12</v>
      </c>
      <c r="B160" s="110" t="s">
        <v>301</v>
      </c>
      <c r="C160" s="106">
        <f t="shared" si="11"/>
        <v>2613</v>
      </c>
      <c r="D160" s="108"/>
      <c r="E160" s="108"/>
      <c r="F160" s="108">
        <f>2408+205</f>
        <v>2613</v>
      </c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9">
        <f t="shared" si="9"/>
        <v>0</v>
      </c>
      <c r="T160" s="108"/>
      <c r="U160" s="109"/>
      <c r="V160" s="109"/>
      <c r="W160" s="109"/>
      <c r="X160" s="108"/>
      <c r="Y160" s="108">
        <v>1815.0050000000001</v>
      </c>
      <c r="Z160" s="111"/>
      <c r="AA160" s="111"/>
      <c r="AB160" s="111"/>
      <c r="AC160" s="110"/>
    </row>
    <row r="161" spans="1:31" ht="20.399999999999999">
      <c r="A161" s="126" t="s">
        <v>98</v>
      </c>
      <c r="B161" s="126" t="s">
        <v>349</v>
      </c>
      <c r="C161" s="95">
        <f>C162</f>
        <v>26232</v>
      </c>
      <c r="D161" s="95">
        <f>SUM(D162:D164)</f>
        <v>0</v>
      </c>
      <c r="E161" s="95">
        <f>SUM(E162:E164)</f>
        <v>0</v>
      </c>
      <c r="F161" s="95">
        <f>F162</f>
        <v>26232</v>
      </c>
      <c r="G161" s="95"/>
      <c r="H161" s="95"/>
      <c r="I161" s="95"/>
      <c r="J161" s="95"/>
      <c r="K161" s="95"/>
      <c r="L161" s="95"/>
      <c r="M161" s="108"/>
      <c r="N161" s="108"/>
      <c r="O161" s="108"/>
      <c r="P161" s="108"/>
      <c r="Q161" s="108"/>
      <c r="R161" s="108"/>
      <c r="S161" s="109"/>
      <c r="T161" s="108"/>
      <c r="U161" s="109"/>
      <c r="V161" s="109"/>
      <c r="W161" s="109"/>
      <c r="X161" s="108"/>
      <c r="Y161" s="108"/>
      <c r="Z161" s="111"/>
      <c r="AA161" s="111"/>
      <c r="AB161" s="111"/>
      <c r="AC161" s="110"/>
    </row>
    <row r="162" spans="1:31">
      <c r="A162" s="110">
        <v>1</v>
      </c>
      <c r="B162" s="110" t="s">
        <v>302</v>
      </c>
      <c r="C162" s="106">
        <f t="shared" ref="C162:C179" si="12">F162</f>
        <v>26232</v>
      </c>
      <c r="D162" s="108"/>
      <c r="E162" s="108"/>
      <c r="F162" s="108">
        <v>26232</v>
      </c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9">
        <f t="shared" si="9"/>
        <v>0</v>
      </c>
      <c r="T162" s="108"/>
      <c r="U162" s="109"/>
      <c r="V162" s="109"/>
      <c r="W162" s="109"/>
      <c r="X162" s="108"/>
      <c r="Y162" s="108">
        <v>9954</v>
      </c>
      <c r="Z162" s="111"/>
      <c r="AA162" s="111"/>
      <c r="AB162" s="111"/>
      <c r="AC162" s="110"/>
    </row>
    <row r="163" spans="1:31">
      <c r="A163" s="110">
        <v>2</v>
      </c>
      <c r="B163" s="131" t="s">
        <v>526</v>
      </c>
      <c r="C163" s="106">
        <f t="shared" si="12"/>
        <v>11732</v>
      </c>
      <c r="D163" s="108"/>
      <c r="E163" s="108"/>
      <c r="F163" s="108">
        <v>11732</v>
      </c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9">
        <f t="shared" si="9"/>
        <v>0</v>
      </c>
      <c r="T163" s="108"/>
      <c r="U163" s="109"/>
      <c r="V163" s="109"/>
      <c r="W163" s="109"/>
      <c r="X163" s="108"/>
      <c r="Y163" s="108">
        <v>2725</v>
      </c>
      <c r="Z163" s="111"/>
      <c r="AA163" s="111"/>
      <c r="AB163" s="111"/>
      <c r="AC163" s="110"/>
    </row>
    <row r="164" spans="1:31">
      <c r="A164" s="110">
        <v>3</v>
      </c>
      <c r="B164" s="130" t="s">
        <v>527</v>
      </c>
      <c r="C164" s="106">
        <f t="shared" si="12"/>
        <v>14500</v>
      </c>
      <c r="D164" s="108"/>
      <c r="E164" s="108"/>
      <c r="F164" s="108">
        <v>14500</v>
      </c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9">
        <f t="shared" si="9"/>
        <v>0</v>
      </c>
      <c r="T164" s="108"/>
      <c r="U164" s="109"/>
      <c r="V164" s="109"/>
      <c r="W164" s="109"/>
      <c r="X164" s="108"/>
      <c r="Y164" s="108"/>
      <c r="Z164" s="111"/>
      <c r="AA164" s="111"/>
      <c r="AB164" s="111"/>
      <c r="AC164" s="110"/>
    </row>
    <row r="165" spans="1:31" ht="20.399999999999999">
      <c r="A165" s="126" t="s">
        <v>350</v>
      </c>
      <c r="B165" s="126" t="s">
        <v>351</v>
      </c>
      <c r="C165" s="95">
        <f>SUM(C166:C179)</f>
        <v>13137</v>
      </c>
      <c r="D165" s="95"/>
      <c r="E165" s="95"/>
      <c r="F165" s="95">
        <f>SUM(F166:F179)</f>
        <v>13137</v>
      </c>
      <c r="G165" s="95"/>
      <c r="H165" s="95"/>
      <c r="I165" s="95"/>
      <c r="J165" s="95"/>
      <c r="K165" s="95"/>
      <c r="L165" s="95"/>
      <c r="M165" s="108"/>
      <c r="N165" s="108"/>
      <c r="O165" s="108"/>
      <c r="P165" s="108"/>
      <c r="Q165" s="108"/>
      <c r="R165" s="108"/>
      <c r="S165" s="109"/>
      <c r="T165" s="108"/>
      <c r="U165" s="109"/>
      <c r="V165" s="109"/>
      <c r="W165" s="109"/>
      <c r="X165" s="108"/>
      <c r="Y165" s="108"/>
      <c r="Z165" s="111"/>
      <c r="AA165" s="111"/>
      <c r="AB165" s="111"/>
      <c r="AC165" s="110"/>
      <c r="AE165" s="80"/>
    </row>
    <row r="166" spans="1:31">
      <c r="A166" s="110">
        <v>1</v>
      </c>
      <c r="B166" s="110" t="s">
        <v>303</v>
      </c>
      <c r="C166" s="106">
        <f t="shared" si="12"/>
        <v>2164</v>
      </c>
      <c r="D166" s="108"/>
      <c r="E166" s="108"/>
      <c r="F166" s="108">
        <f>625+1538+1</f>
        <v>2164</v>
      </c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9">
        <f t="shared" si="9"/>
        <v>0</v>
      </c>
      <c r="T166" s="108"/>
      <c r="U166" s="109"/>
      <c r="V166" s="109"/>
      <c r="W166" s="109"/>
      <c r="X166" s="108"/>
      <c r="Y166" s="108">
        <v>2192.8629999999998</v>
      </c>
      <c r="Z166" s="111"/>
      <c r="AA166" s="111"/>
      <c r="AB166" s="111"/>
      <c r="AC166" s="110"/>
    </row>
    <row r="167" spans="1:31">
      <c r="A167" s="110">
        <v>2</v>
      </c>
      <c r="B167" s="65" t="s">
        <v>304</v>
      </c>
      <c r="C167" s="106">
        <f t="shared" si="12"/>
        <v>3263</v>
      </c>
      <c r="D167" s="108"/>
      <c r="E167" s="108"/>
      <c r="F167" s="108">
        <f>2019+1244</f>
        <v>3263</v>
      </c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9">
        <f t="shared" si="9"/>
        <v>0</v>
      </c>
      <c r="T167" s="108"/>
      <c r="U167" s="109"/>
      <c r="V167" s="109"/>
      <c r="W167" s="109"/>
      <c r="X167" s="108"/>
      <c r="Y167" s="108">
        <v>1934.1569999999999</v>
      </c>
      <c r="Z167" s="111"/>
      <c r="AA167" s="111"/>
      <c r="AB167" s="111"/>
      <c r="AC167" s="110"/>
    </row>
    <row r="168" spans="1:31" hidden="1">
      <c r="A168" s="110">
        <v>3</v>
      </c>
      <c r="B168" s="110" t="s">
        <v>305</v>
      </c>
      <c r="C168" s="106">
        <f t="shared" si="12"/>
        <v>0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9">
        <f t="shared" si="9"/>
        <v>0</v>
      </c>
      <c r="T168" s="108"/>
      <c r="U168" s="109"/>
      <c r="V168" s="109"/>
      <c r="W168" s="109"/>
      <c r="X168" s="108"/>
      <c r="Y168" s="108">
        <v>180</v>
      </c>
      <c r="Z168" s="111"/>
      <c r="AA168" s="111"/>
      <c r="AB168" s="111"/>
      <c r="AC168" s="110"/>
    </row>
    <row r="169" spans="1:31">
      <c r="A169" s="110">
        <v>4</v>
      </c>
      <c r="B169" s="110" t="s">
        <v>306</v>
      </c>
      <c r="C169" s="106">
        <f t="shared" si="12"/>
        <v>2435</v>
      </c>
      <c r="D169" s="108"/>
      <c r="E169" s="108"/>
      <c r="F169" s="108">
        <f>1083+1352</f>
        <v>2435</v>
      </c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9">
        <f t="shared" si="9"/>
        <v>0</v>
      </c>
      <c r="T169" s="108"/>
      <c r="U169" s="109"/>
      <c r="V169" s="109"/>
      <c r="W169" s="109"/>
      <c r="X169" s="108"/>
      <c r="Y169" s="108">
        <v>1022.732</v>
      </c>
      <c r="Z169" s="111"/>
      <c r="AA169" s="111"/>
      <c r="AB169" s="111"/>
      <c r="AC169" s="110"/>
    </row>
    <row r="170" spans="1:31">
      <c r="A170" s="110">
        <v>5</v>
      </c>
      <c r="B170" s="110" t="s">
        <v>307</v>
      </c>
      <c r="C170" s="106">
        <f t="shared" si="12"/>
        <v>907</v>
      </c>
      <c r="D170" s="108"/>
      <c r="E170" s="108"/>
      <c r="F170" s="108">
        <v>907</v>
      </c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9">
        <f t="shared" si="9"/>
        <v>0</v>
      </c>
      <c r="T170" s="108"/>
      <c r="U170" s="109"/>
      <c r="V170" s="109"/>
      <c r="W170" s="109"/>
      <c r="X170" s="108"/>
      <c r="Y170" s="108">
        <v>983.59</v>
      </c>
      <c r="Z170" s="111"/>
      <c r="AA170" s="111"/>
      <c r="AB170" s="111"/>
      <c r="AC170" s="110"/>
    </row>
    <row r="171" spans="1:31">
      <c r="A171" s="110">
        <v>6</v>
      </c>
      <c r="B171" s="110" t="s">
        <v>308</v>
      </c>
      <c r="C171" s="106">
        <f t="shared" si="12"/>
        <v>958</v>
      </c>
      <c r="D171" s="108"/>
      <c r="E171" s="108"/>
      <c r="F171" s="108">
        <f>150+808</f>
        <v>958</v>
      </c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9">
        <f t="shared" si="9"/>
        <v>0</v>
      </c>
      <c r="T171" s="108"/>
      <c r="U171" s="109"/>
      <c r="V171" s="109"/>
      <c r="W171" s="109"/>
      <c r="X171" s="108"/>
      <c r="Y171" s="108">
        <v>957.36</v>
      </c>
      <c r="Z171" s="111"/>
      <c r="AA171" s="111"/>
      <c r="AB171" s="111"/>
      <c r="AC171" s="110"/>
    </row>
    <row r="172" spans="1:31">
      <c r="A172" s="110">
        <v>7</v>
      </c>
      <c r="B172" s="110" t="s">
        <v>133</v>
      </c>
      <c r="C172" s="106">
        <f t="shared" si="12"/>
        <v>564</v>
      </c>
      <c r="D172" s="108"/>
      <c r="E172" s="108"/>
      <c r="F172" s="108">
        <v>564</v>
      </c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9">
        <f t="shared" si="9"/>
        <v>0</v>
      </c>
      <c r="T172" s="108"/>
      <c r="U172" s="109"/>
      <c r="V172" s="109"/>
      <c r="W172" s="109"/>
      <c r="X172" s="108"/>
      <c r="Y172" s="108">
        <v>306.48500000000001</v>
      </c>
      <c r="Z172" s="111"/>
      <c r="AA172" s="111"/>
      <c r="AB172" s="111"/>
      <c r="AC172" s="110"/>
    </row>
    <row r="173" spans="1:31">
      <c r="A173" s="110">
        <v>8</v>
      </c>
      <c r="B173" s="110" t="s">
        <v>309</v>
      </c>
      <c r="C173" s="106">
        <f t="shared" si="12"/>
        <v>876</v>
      </c>
      <c r="D173" s="108"/>
      <c r="E173" s="108"/>
      <c r="F173" s="108">
        <f>130+746</f>
        <v>876</v>
      </c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9">
        <f t="shared" si="9"/>
        <v>0</v>
      </c>
      <c r="T173" s="108"/>
      <c r="U173" s="109"/>
      <c r="V173" s="109"/>
      <c r="W173" s="109"/>
      <c r="X173" s="108"/>
      <c r="Y173" s="108">
        <v>603.70100000000002</v>
      </c>
      <c r="Z173" s="111"/>
      <c r="AA173" s="111"/>
      <c r="AB173" s="111"/>
      <c r="AC173" s="110"/>
    </row>
    <row r="174" spans="1:31">
      <c r="A174" s="110">
        <v>9</v>
      </c>
      <c r="B174" s="110" t="s">
        <v>134</v>
      </c>
      <c r="C174" s="106">
        <f t="shared" si="12"/>
        <v>543</v>
      </c>
      <c r="D174" s="108"/>
      <c r="E174" s="108"/>
      <c r="F174" s="108">
        <v>543</v>
      </c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9">
        <f t="shared" si="9"/>
        <v>0</v>
      </c>
      <c r="T174" s="108"/>
      <c r="U174" s="109"/>
      <c r="V174" s="109"/>
      <c r="W174" s="109"/>
      <c r="X174" s="108"/>
      <c r="Y174" s="108">
        <v>272.55700000000002</v>
      </c>
      <c r="Z174" s="111"/>
      <c r="AA174" s="111"/>
      <c r="AB174" s="111"/>
      <c r="AC174" s="110"/>
    </row>
    <row r="175" spans="1:31">
      <c r="A175" s="110">
        <v>10</v>
      </c>
      <c r="B175" s="110" t="s">
        <v>310</v>
      </c>
      <c r="C175" s="106">
        <f t="shared" si="12"/>
        <v>492</v>
      </c>
      <c r="D175" s="108"/>
      <c r="E175" s="108"/>
      <c r="F175" s="108">
        <f>126+366</f>
        <v>492</v>
      </c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9">
        <f t="shared" si="9"/>
        <v>0</v>
      </c>
      <c r="T175" s="108"/>
      <c r="U175" s="109"/>
      <c r="V175" s="109"/>
      <c r="W175" s="109"/>
      <c r="X175" s="108"/>
      <c r="Y175" s="108">
        <v>353.39299999999997</v>
      </c>
      <c r="Z175" s="111"/>
      <c r="AA175" s="111"/>
      <c r="AB175" s="111"/>
      <c r="AC175" s="110"/>
    </row>
    <row r="176" spans="1:31">
      <c r="A176" s="110">
        <v>11</v>
      </c>
      <c r="B176" s="110" t="s">
        <v>132</v>
      </c>
      <c r="C176" s="106">
        <f t="shared" si="12"/>
        <v>406</v>
      </c>
      <c r="D176" s="108"/>
      <c r="E176" s="108"/>
      <c r="F176" s="108">
        <v>406</v>
      </c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9">
        <f t="shared" si="9"/>
        <v>0</v>
      </c>
      <c r="T176" s="108"/>
      <c r="U176" s="109"/>
      <c r="V176" s="109"/>
      <c r="W176" s="109"/>
      <c r="X176" s="108"/>
      <c r="Y176" s="108">
        <v>231.17099999999999</v>
      </c>
      <c r="Z176" s="111"/>
      <c r="AA176" s="111"/>
      <c r="AB176" s="111"/>
      <c r="AC176" s="110"/>
    </row>
    <row r="177" spans="1:32">
      <c r="A177" s="110">
        <v>12</v>
      </c>
      <c r="B177" s="117" t="s">
        <v>352</v>
      </c>
      <c r="C177" s="106">
        <f t="shared" si="12"/>
        <v>60</v>
      </c>
      <c r="D177" s="108"/>
      <c r="E177" s="108"/>
      <c r="F177" s="108">
        <v>60</v>
      </c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9"/>
      <c r="T177" s="108"/>
      <c r="U177" s="109"/>
      <c r="V177" s="109"/>
      <c r="W177" s="109"/>
      <c r="X177" s="108"/>
      <c r="Y177" s="108"/>
      <c r="Z177" s="111"/>
      <c r="AA177" s="111"/>
      <c r="AB177" s="111"/>
      <c r="AC177" s="110"/>
    </row>
    <row r="178" spans="1:32">
      <c r="A178" s="110">
        <v>13</v>
      </c>
      <c r="B178" s="110" t="s">
        <v>311</v>
      </c>
      <c r="C178" s="106">
        <f t="shared" si="12"/>
        <v>469</v>
      </c>
      <c r="D178" s="108"/>
      <c r="E178" s="108"/>
      <c r="F178" s="108">
        <f>80+389</f>
        <v>469</v>
      </c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9"/>
      <c r="T178" s="108"/>
      <c r="U178" s="109"/>
      <c r="V178" s="109"/>
      <c r="W178" s="109"/>
      <c r="X178" s="108"/>
      <c r="Y178" s="108">
        <v>254.53200000000001</v>
      </c>
      <c r="Z178" s="111"/>
      <c r="AA178" s="111"/>
      <c r="AB178" s="111"/>
      <c r="AC178" s="110"/>
    </row>
    <row r="179" spans="1:32" hidden="1">
      <c r="A179" s="110">
        <v>14</v>
      </c>
      <c r="B179" s="117" t="s">
        <v>312</v>
      </c>
      <c r="C179" s="106">
        <f t="shared" si="12"/>
        <v>0</v>
      </c>
      <c r="D179" s="124"/>
      <c r="E179" s="124"/>
      <c r="F179" s="124">
        <v>0</v>
      </c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32">
        <f t="shared" si="9"/>
        <v>0</v>
      </c>
      <c r="T179" s="124"/>
      <c r="U179" s="132"/>
      <c r="V179" s="132"/>
      <c r="W179" s="132"/>
      <c r="X179" s="124"/>
      <c r="Y179" s="124">
        <v>71.2</v>
      </c>
      <c r="Z179" s="133"/>
      <c r="AA179" s="133"/>
      <c r="AB179" s="133"/>
      <c r="AC179" s="117"/>
    </row>
    <row r="180" spans="1:32" ht="20.399999999999999">
      <c r="A180" s="126" t="s">
        <v>408</v>
      </c>
      <c r="B180" s="134" t="s">
        <v>313</v>
      </c>
      <c r="C180" s="95">
        <f>SUM(C181:C182)</f>
        <v>35745</v>
      </c>
      <c r="D180" s="95">
        <f t="shared" ref="D180:AB180" si="13">SUM(D181:D183)</f>
        <v>0</v>
      </c>
      <c r="E180" s="95"/>
      <c r="F180" s="95">
        <f>SUM(F181:F182)</f>
        <v>35745</v>
      </c>
      <c r="G180" s="95"/>
      <c r="H180" s="95"/>
      <c r="I180" s="95"/>
      <c r="J180" s="95"/>
      <c r="K180" s="95"/>
      <c r="L180" s="95"/>
      <c r="M180" s="95">
        <f t="shared" si="13"/>
        <v>0</v>
      </c>
      <c r="N180" s="95">
        <f t="shared" si="13"/>
        <v>0</v>
      </c>
      <c r="O180" s="95">
        <f t="shared" si="13"/>
        <v>0</v>
      </c>
      <c r="P180" s="95">
        <f t="shared" si="13"/>
        <v>0</v>
      </c>
      <c r="Q180" s="95">
        <f t="shared" si="13"/>
        <v>0</v>
      </c>
      <c r="R180" s="95">
        <f t="shared" si="13"/>
        <v>0</v>
      </c>
      <c r="S180" s="95">
        <f t="shared" si="13"/>
        <v>0</v>
      </c>
      <c r="T180" s="95">
        <f t="shared" si="13"/>
        <v>0</v>
      </c>
      <c r="U180" s="95">
        <f>SUM(U181:U183)</f>
        <v>0</v>
      </c>
      <c r="V180" s="95">
        <f>SUM(V181:V183)</f>
        <v>0</v>
      </c>
      <c r="W180" s="95"/>
      <c r="X180" s="95">
        <f t="shared" si="13"/>
        <v>0</v>
      </c>
      <c r="Y180" s="95">
        <f t="shared" si="13"/>
        <v>0</v>
      </c>
      <c r="Z180" s="135">
        <f>SUM(Z181:Z183)</f>
        <v>0</v>
      </c>
      <c r="AA180" s="89">
        <f>SUM(AA181:AA183)</f>
        <v>18407</v>
      </c>
      <c r="AB180" s="135">
        <f t="shared" si="13"/>
        <v>0</v>
      </c>
      <c r="AC180" s="468"/>
      <c r="AD180" s="145"/>
      <c r="AE180" s="129"/>
    </row>
    <row r="181" spans="1:32">
      <c r="A181" s="105">
        <v>1</v>
      </c>
      <c r="B181" s="105" t="s">
        <v>314</v>
      </c>
      <c r="C181" s="106">
        <f>F181</f>
        <v>9000</v>
      </c>
      <c r="D181" s="122"/>
      <c r="E181" s="122"/>
      <c r="F181" s="122">
        <v>9000</v>
      </c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36">
        <f>SUM(T181:X181)</f>
        <v>0</v>
      </c>
      <c r="T181" s="122"/>
      <c r="U181" s="136"/>
      <c r="V181" s="136"/>
      <c r="W181" s="136"/>
      <c r="X181" s="122"/>
      <c r="Y181" s="105"/>
      <c r="Z181" s="137"/>
      <c r="AA181" s="122">
        <v>4254</v>
      </c>
      <c r="AB181" s="137"/>
      <c r="AC181" s="105"/>
    </row>
    <row r="182" spans="1:32">
      <c r="A182" s="117">
        <f>A181+1</f>
        <v>2</v>
      </c>
      <c r="B182" s="117" t="s">
        <v>315</v>
      </c>
      <c r="C182" s="106">
        <f>F182</f>
        <v>26745</v>
      </c>
      <c r="D182" s="124"/>
      <c r="E182" s="124"/>
      <c r="F182" s="124">
        <v>26745</v>
      </c>
      <c r="G182" s="124"/>
      <c r="H182" s="124"/>
      <c r="I182" s="124"/>
      <c r="J182" s="124"/>
      <c r="K182" s="124"/>
      <c r="L182" s="124"/>
      <c r="M182" s="108"/>
      <c r="N182" s="108"/>
      <c r="O182" s="108"/>
      <c r="P182" s="108"/>
      <c r="Q182" s="108"/>
      <c r="R182" s="108"/>
      <c r="S182" s="109">
        <f>SUM(T182:X182)</f>
        <v>0</v>
      </c>
      <c r="T182" s="108"/>
      <c r="U182" s="109"/>
      <c r="V182" s="109"/>
      <c r="W182" s="109"/>
      <c r="X182" s="108"/>
      <c r="Y182" s="110"/>
      <c r="Z182" s="111"/>
      <c r="AA182" s="108">
        <v>1275</v>
      </c>
      <c r="AB182" s="111"/>
      <c r="AC182" s="110"/>
    </row>
    <row r="183" spans="1:32">
      <c r="A183" s="126" t="s">
        <v>409</v>
      </c>
      <c r="B183" s="134" t="s">
        <v>316</v>
      </c>
      <c r="C183" s="119">
        <f>SUM(C184:C190)</f>
        <v>83339</v>
      </c>
      <c r="D183" s="125"/>
      <c r="E183" s="125"/>
      <c r="F183" s="119">
        <f>SUM(F184:F190)</f>
        <v>83339</v>
      </c>
      <c r="G183" s="119">
        <f>SUM(G184:G190)</f>
        <v>0</v>
      </c>
      <c r="H183" s="119">
        <f>SUM(H184:H190)</f>
        <v>0</v>
      </c>
      <c r="I183" s="125"/>
      <c r="J183" s="125"/>
      <c r="K183" s="125"/>
      <c r="L183" s="125"/>
      <c r="M183" s="108"/>
      <c r="N183" s="108"/>
      <c r="O183" s="108"/>
      <c r="P183" s="108"/>
      <c r="Q183" s="108"/>
      <c r="R183" s="108"/>
      <c r="S183" s="109">
        <f>SUM(T183:X183)</f>
        <v>0</v>
      </c>
      <c r="T183" s="108"/>
      <c r="U183" s="109"/>
      <c r="V183" s="109"/>
      <c r="W183" s="109"/>
      <c r="X183" s="108"/>
      <c r="Y183" s="110"/>
      <c r="Z183" s="111"/>
      <c r="AA183" s="108">
        <v>12878</v>
      </c>
      <c r="AB183" s="111"/>
      <c r="AC183" s="110"/>
    </row>
    <row r="184" spans="1:32">
      <c r="A184" s="110">
        <v>1</v>
      </c>
      <c r="B184" s="110" t="s">
        <v>318</v>
      </c>
      <c r="C184" s="106">
        <f>F184+G184+H184</f>
        <v>19504</v>
      </c>
      <c r="D184" s="108"/>
      <c r="E184" s="108"/>
      <c r="F184" s="108">
        <f>8217+6110+2337+2840</f>
        <v>19504</v>
      </c>
      <c r="G184" s="108"/>
      <c r="H184" s="108"/>
      <c r="I184" s="108"/>
      <c r="J184" s="108"/>
      <c r="K184" s="108"/>
      <c r="L184" s="108"/>
      <c r="M184" s="108"/>
      <c r="N184" s="108"/>
      <c r="O184" s="108"/>
      <c r="P184" s="108">
        <v>3220</v>
      </c>
      <c r="Q184" s="108"/>
      <c r="R184" s="108"/>
      <c r="S184" s="109">
        <f t="shared" ref="S184:S190" si="14">SUM(T184:X184)</f>
        <v>0</v>
      </c>
      <c r="T184" s="108"/>
      <c r="U184" s="109"/>
      <c r="V184" s="109"/>
      <c r="W184" s="109"/>
      <c r="X184" s="108"/>
      <c r="Y184" s="110"/>
      <c r="Z184" s="111"/>
      <c r="AA184" s="111"/>
      <c r="AB184" s="111"/>
      <c r="AC184" s="110"/>
    </row>
    <row r="185" spans="1:32">
      <c r="A185" s="110">
        <v>2</v>
      </c>
      <c r="B185" s="138" t="s">
        <v>319</v>
      </c>
      <c r="C185" s="106">
        <f t="shared" ref="C185:C190" si="15">F185</f>
        <v>0</v>
      </c>
      <c r="D185" s="108"/>
      <c r="E185" s="108"/>
      <c r="F185" s="108">
        <v>0</v>
      </c>
      <c r="G185" s="108"/>
      <c r="H185" s="108"/>
      <c r="I185" s="108"/>
      <c r="J185" s="108"/>
      <c r="K185" s="108"/>
      <c r="L185" s="108"/>
      <c r="M185" s="108"/>
      <c r="N185" s="108"/>
      <c r="O185" s="108">
        <f>4638+1857</f>
        <v>6495</v>
      </c>
      <c r="P185" s="108"/>
      <c r="Q185" s="108">
        <v>1200</v>
      </c>
      <c r="R185" s="108"/>
      <c r="S185" s="109">
        <f t="shared" si="14"/>
        <v>0</v>
      </c>
      <c r="T185" s="108"/>
      <c r="U185" s="109"/>
      <c r="V185" s="109"/>
      <c r="W185" s="109"/>
      <c r="X185" s="108"/>
      <c r="Y185" s="110"/>
      <c r="Z185" s="111"/>
      <c r="AA185" s="111"/>
      <c r="AB185" s="111"/>
      <c r="AC185" s="110"/>
    </row>
    <row r="186" spans="1:32" s="141" customFormat="1">
      <c r="A186" s="110">
        <v>3</v>
      </c>
      <c r="B186" s="110" t="s">
        <v>320</v>
      </c>
      <c r="C186" s="106">
        <f t="shared" si="15"/>
        <v>0</v>
      </c>
      <c r="D186" s="139"/>
      <c r="E186" s="139"/>
      <c r="F186" s="139">
        <v>0</v>
      </c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09">
        <f t="shared" si="14"/>
        <v>203</v>
      </c>
      <c r="T186" s="139"/>
      <c r="U186" s="139"/>
      <c r="V186" s="139">
        <v>203</v>
      </c>
      <c r="W186" s="139"/>
      <c r="X186" s="139"/>
      <c r="Y186" s="138"/>
      <c r="Z186" s="140"/>
      <c r="AA186" s="140"/>
      <c r="AB186" s="140"/>
      <c r="AC186" s="138"/>
    </row>
    <row r="187" spans="1:32">
      <c r="A187" s="110">
        <v>4</v>
      </c>
      <c r="B187" s="138" t="s">
        <v>321</v>
      </c>
      <c r="C187" s="106">
        <f t="shared" si="15"/>
        <v>3928</v>
      </c>
      <c r="D187" s="108"/>
      <c r="E187" s="108"/>
      <c r="F187" s="108">
        <v>3928</v>
      </c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9">
        <f t="shared" si="14"/>
        <v>305</v>
      </c>
      <c r="T187" s="108"/>
      <c r="U187" s="109"/>
      <c r="V187" s="109"/>
      <c r="W187" s="109"/>
      <c r="X187" s="108">
        <v>305</v>
      </c>
      <c r="Y187" s="110"/>
      <c r="Z187" s="111"/>
      <c r="AA187" s="111"/>
      <c r="AB187" s="111"/>
      <c r="AC187" s="110"/>
    </row>
    <row r="188" spans="1:32" s="141" customFormat="1">
      <c r="A188" s="110">
        <v>5</v>
      </c>
      <c r="B188" s="110" t="s">
        <v>322</v>
      </c>
      <c r="C188" s="106">
        <f t="shared" si="15"/>
        <v>2943</v>
      </c>
      <c r="D188" s="139"/>
      <c r="E188" s="139"/>
      <c r="F188" s="139">
        <v>2943</v>
      </c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09">
        <f t="shared" si="14"/>
        <v>0</v>
      </c>
      <c r="T188" s="139"/>
      <c r="U188" s="139"/>
      <c r="V188" s="139"/>
      <c r="W188" s="139"/>
      <c r="X188" s="139"/>
      <c r="Y188" s="138"/>
      <c r="Z188" s="140"/>
      <c r="AA188" s="140"/>
      <c r="AB188" s="140"/>
      <c r="AC188" s="138"/>
    </row>
    <row r="189" spans="1:32">
      <c r="A189" s="110">
        <v>6</v>
      </c>
      <c r="B189" s="110" t="s">
        <v>418</v>
      </c>
      <c r="C189" s="106">
        <f t="shared" si="15"/>
        <v>55000</v>
      </c>
      <c r="D189" s="108"/>
      <c r="E189" s="108"/>
      <c r="F189" s="108">
        <f>54977+23</f>
        <v>55000</v>
      </c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9">
        <f t="shared" si="14"/>
        <v>5834</v>
      </c>
      <c r="T189" s="108"/>
      <c r="U189" s="109"/>
      <c r="V189" s="109">
        <v>5834</v>
      </c>
      <c r="W189" s="109"/>
      <c r="X189" s="108"/>
      <c r="Y189" s="110"/>
      <c r="Z189" s="111"/>
      <c r="AA189" s="111"/>
      <c r="AB189" s="111"/>
      <c r="AC189" s="110"/>
    </row>
    <row r="190" spans="1:32">
      <c r="A190" s="110">
        <v>7</v>
      </c>
      <c r="B190" s="117" t="s">
        <v>162</v>
      </c>
      <c r="C190" s="106">
        <f t="shared" si="15"/>
        <v>1964</v>
      </c>
      <c r="D190" s="124"/>
      <c r="E190" s="124"/>
      <c r="F190" s="124">
        <v>1964</v>
      </c>
      <c r="G190" s="124"/>
      <c r="H190" s="124"/>
      <c r="I190" s="124"/>
      <c r="J190" s="124"/>
      <c r="K190" s="124"/>
      <c r="L190" s="124"/>
      <c r="M190" s="108"/>
      <c r="N190" s="108">
        <v>26000</v>
      </c>
      <c r="O190" s="108"/>
      <c r="P190" s="108"/>
      <c r="Q190" s="108"/>
      <c r="R190" s="108"/>
      <c r="S190" s="109">
        <f t="shared" si="14"/>
        <v>0</v>
      </c>
      <c r="T190" s="108"/>
      <c r="U190" s="109"/>
      <c r="V190" s="109"/>
      <c r="W190" s="109"/>
      <c r="X190" s="108"/>
      <c r="Y190" s="110"/>
      <c r="Z190" s="111"/>
      <c r="AA190" s="111"/>
      <c r="AB190" s="111"/>
      <c r="AC190" s="110"/>
    </row>
    <row r="191" spans="1:32">
      <c r="A191" s="142" t="s">
        <v>4</v>
      </c>
      <c r="B191" s="126" t="s">
        <v>90</v>
      </c>
      <c r="C191" s="119">
        <f>G191</f>
        <v>57105</v>
      </c>
      <c r="D191" s="125"/>
      <c r="E191" s="125"/>
      <c r="F191" s="125"/>
      <c r="G191" s="119">
        <v>57105</v>
      </c>
      <c r="H191" s="125"/>
      <c r="I191" s="125"/>
      <c r="J191" s="125"/>
      <c r="K191" s="125"/>
      <c r="L191" s="125"/>
      <c r="M191" s="143"/>
      <c r="N191" s="143"/>
      <c r="O191" s="143"/>
      <c r="P191" s="143"/>
      <c r="Q191" s="143"/>
      <c r="R191" s="143"/>
      <c r="S191" s="144"/>
      <c r="T191" s="143"/>
      <c r="U191" s="144"/>
      <c r="V191" s="144"/>
      <c r="W191" s="144"/>
      <c r="X191" s="143"/>
      <c r="Y191" s="145"/>
      <c r="Z191" s="146"/>
      <c r="AA191" s="146"/>
      <c r="AB191" s="144"/>
      <c r="AC191" s="145"/>
      <c r="AF191" s="78"/>
    </row>
    <row r="192" spans="1:32">
      <c r="A192" s="147" t="s">
        <v>74</v>
      </c>
      <c r="B192" s="148" t="s">
        <v>91</v>
      </c>
      <c r="C192" s="149">
        <f>H192</f>
        <v>0</v>
      </c>
      <c r="D192" s="150"/>
      <c r="E192" s="150"/>
      <c r="F192" s="150"/>
      <c r="G192" s="150"/>
      <c r="H192" s="149">
        <v>0</v>
      </c>
      <c r="I192" s="150"/>
      <c r="J192" s="150"/>
      <c r="K192" s="150"/>
      <c r="L192" s="150"/>
      <c r="M192" s="143"/>
      <c r="N192" s="143"/>
      <c r="O192" s="143"/>
      <c r="P192" s="143"/>
      <c r="Q192" s="143"/>
      <c r="R192" s="143"/>
      <c r="S192" s="144"/>
      <c r="T192" s="143"/>
      <c r="U192" s="144"/>
      <c r="V192" s="144"/>
      <c r="W192" s="144"/>
      <c r="X192" s="143"/>
      <c r="Y192" s="145"/>
      <c r="Z192" s="146"/>
      <c r="AA192" s="146"/>
      <c r="AB192" s="144"/>
      <c r="AC192" s="145"/>
      <c r="AF192" s="78"/>
    </row>
    <row r="193" spans="1:32">
      <c r="A193" s="147" t="s">
        <v>144</v>
      </c>
      <c r="B193" s="148" t="s">
        <v>325</v>
      </c>
      <c r="C193" s="149"/>
      <c r="D193" s="150"/>
      <c r="E193" s="150"/>
      <c r="F193" s="150"/>
      <c r="G193" s="150"/>
      <c r="H193" s="150"/>
      <c r="I193" s="150"/>
      <c r="J193" s="150"/>
      <c r="K193" s="150"/>
      <c r="L193" s="150"/>
      <c r="M193" s="143"/>
      <c r="N193" s="143"/>
      <c r="O193" s="143"/>
      <c r="P193" s="143"/>
      <c r="Q193" s="143"/>
      <c r="R193" s="143"/>
      <c r="S193" s="144"/>
      <c r="T193" s="143"/>
      <c r="U193" s="144"/>
      <c r="V193" s="144"/>
      <c r="W193" s="144"/>
      <c r="X193" s="143"/>
      <c r="Y193" s="145"/>
      <c r="Z193" s="146"/>
      <c r="AA193" s="146"/>
      <c r="AB193" s="144"/>
      <c r="AC193" s="145"/>
      <c r="AF193" s="78"/>
    </row>
    <row r="194" spans="1:32">
      <c r="A194" s="147" t="s">
        <v>410</v>
      </c>
      <c r="B194" s="148" t="s">
        <v>326</v>
      </c>
      <c r="C194" s="149"/>
      <c r="D194" s="150"/>
      <c r="E194" s="150"/>
      <c r="F194" s="150"/>
      <c r="G194" s="150"/>
      <c r="H194" s="150"/>
      <c r="I194" s="150"/>
      <c r="J194" s="150"/>
      <c r="K194" s="150"/>
      <c r="L194" s="150"/>
      <c r="M194" s="143"/>
      <c r="N194" s="143"/>
      <c r="O194" s="143"/>
      <c r="P194" s="143"/>
      <c r="Q194" s="143"/>
      <c r="R194" s="143"/>
      <c r="S194" s="144"/>
      <c r="T194" s="143"/>
      <c r="U194" s="144"/>
      <c r="V194" s="144"/>
      <c r="W194" s="144"/>
      <c r="X194" s="143"/>
      <c r="Y194" s="145"/>
      <c r="Z194" s="146"/>
      <c r="AA194" s="146"/>
      <c r="AB194" s="144"/>
      <c r="AC194" s="145"/>
      <c r="AF194" s="78"/>
    </row>
    <row r="195" spans="1:32">
      <c r="A195" s="147" t="s">
        <v>411</v>
      </c>
      <c r="B195" s="151" t="s">
        <v>353</v>
      </c>
      <c r="C195" s="149"/>
      <c r="D195" s="150"/>
      <c r="E195" s="150">
        <v>611867</v>
      </c>
      <c r="F195" s="150"/>
      <c r="G195" s="150"/>
      <c r="H195" s="150"/>
      <c r="I195" s="150"/>
      <c r="J195" s="150"/>
      <c r="K195" s="150"/>
      <c r="L195" s="150"/>
      <c r="M195" s="129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</row>
    <row r="196" spans="1:32">
      <c r="C196" s="152"/>
      <c r="O196" s="353"/>
      <c r="P196" s="353"/>
      <c r="Q196" s="353"/>
      <c r="R196" s="353"/>
      <c r="S196" s="353"/>
      <c r="T196" s="353"/>
      <c r="U196" s="353"/>
      <c r="V196" s="353"/>
      <c r="W196" s="353"/>
      <c r="X196" s="353"/>
    </row>
  </sheetData>
  <mergeCells count="35">
    <mergeCell ref="M10:M11"/>
    <mergeCell ref="I10:I11"/>
    <mergeCell ref="J10:J11"/>
    <mergeCell ref="L9:L11"/>
    <mergeCell ref="K10:K11"/>
    <mergeCell ref="O195:X195"/>
    <mergeCell ref="N10:N11"/>
    <mergeCell ref="S10:S11"/>
    <mergeCell ref="T10:X10"/>
    <mergeCell ref="O196:X196"/>
    <mergeCell ref="O10:O11"/>
    <mergeCell ref="P10:P11"/>
    <mergeCell ref="Q10:Q11"/>
    <mergeCell ref="R10:R11"/>
    <mergeCell ref="AC9:AC11"/>
    <mergeCell ref="Y10:Y11"/>
    <mergeCell ref="Z10:Z11"/>
    <mergeCell ref="AA10:AA11"/>
    <mergeCell ref="AB10:AB11"/>
    <mergeCell ref="A1:B1"/>
    <mergeCell ref="A2:B2"/>
    <mergeCell ref="C2:X2"/>
    <mergeCell ref="C3:N3"/>
    <mergeCell ref="A4:AB4"/>
    <mergeCell ref="A5:AB5"/>
    <mergeCell ref="H9:H11"/>
    <mergeCell ref="I9:K9"/>
    <mergeCell ref="D10:D11"/>
    <mergeCell ref="A6:AB6"/>
    <mergeCell ref="A9:A11"/>
    <mergeCell ref="B9:B11"/>
    <mergeCell ref="C9:C11"/>
    <mergeCell ref="E9:E11"/>
    <mergeCell ref="F9:F11"/>
    <mergeCell ref="G9:G11"/>
  </mergeCells>
  <phoneticPr fontId="5" type="noConversion"/>
  <printOptions horizontalCentered="1"/>
  <pageMargins left="0.25" right="0.25" top="0.7" bottom="0.5" header="0.3" footer="0.5"/>
  <pageSetup paperSize="9" scale="96" fitToHeight="0" orientation="landscape" r:id="rId1"/>
  <headerFooter alignWithMargins="0">
    <oddHeader>&amp;C&amp;P/&amp;N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AB30"/>
  <sheetViews>
    <sheetView topLeftCell="A19" workbookViewId="0">
      <selection activeCell="K29" sqref="K29"/>
    </sheetView>
  </sheetViews>
  <sheetFormatPr defaultRowHeight="15.6"/>
  <cols>
    <col min="1" max="1" width="3.59765625" customWidth="1"/>
    <col min="2" max="2" width="25.09765625" customWidth="1"/>
    <col min="3" max="3" width="8.59765625" customWidth="1"/>
    <col min="4" max="4" width="8" customWidth="1"/>
    <col min="5" max="5" width="6.3984375" customWidth="1"/>
    <col min="6" max="6" width="7.09765625" customWidth="1"/>
    <col min="7" max="7" width="7" customWidth="1"/>
    <col min="8" max="8" width="7.19921875" customWidth="1"/>
    <col min="9" max="9" width="5.69921875" customWidth="1"/>
    <col min="10" max="10" width="6.5" customWidth="1"/>
    <col min="11" max="11" width="6.19921875" customWidth="1"/>
    <col min="12" max="12" width="7.3984375" customWidth="1"/>
    <col min="13" max="13" width="7" customWidth="1"/>
    <col min="14" max="14" width="8.8984375" customWidth="1"/>
    <col min="15" max="15" width="5.5" customWidth="1"/>
    <col min="16" max="16" width="7.69921875" customWidth="1"/>
  </cols>
  <sheetData>
    <row r="1" spans="1:28">
      <c r="A1" s="366" t="s">
        <v>130</v>
      </c>
      <c r="B1" s="366"/>
      <c r="C1" s="366"/>
      <c r="D1" s="366"/>
    </row>
    <row r="2" spans="1:28">
      <c r="A2" s="366" t="s">
        <v>135</v>
      </c>
      <c r="B2" s="366"/>
      <c r="C2" s="366"/>
      <c r="D2" s="366"/>
      <c r="O2" s="2" t="s">
        <v>124</v>
      </c>
      <c r="P2" s="2"/>
    </row>
    <row r="3" spans="1:28">
      <c r="A3" s="1"/>
    </row>
    <row r="4" spans="1:28">
      <c r="A4" s="368" t="s">
        <v>620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205"/>
    </row>
    <row r="5" spans="1:28">
      <c r="A5" s="372" t="s">
        <v>113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205"/>
    </row>
    <row r="6" spans="1:28">
      <c r="A6" s="362" t="s">
        <v>522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>
      <c r="A7" s="205"/>
      <c r="B7" s="206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7" t="s">
        <v>0</v>
      </c>
      <c r="P7" s="207"/>
    </row>
    <row r="8" spans="1:28" s="19" customFormat="1">
      <c r="A8" s="363" t="s">
        <v>431</v>
      </c>
      <c r="B8" s="363" t="s">
        <v>100</v>
      </c>
      <c r="C8" s="363" t="s">
        <v>105</v>
      </c>
      <c r="D8" s="369" t="s">
        <v>111</v>
      </c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1"/>
    </row>
    <row r="9" spans="1:28" s="19" customFormat="1">
      <c r="A9" s="364"/>
      <c r="B9" s="364"/>
      <c r="C9" s="364"/>
      <c r="D9" s="363" t="s">
        <v>338</v>
      </c>
      <c r="E9" s="363" t="s">
        <v>65</v>
      </c>
      <c r="F9" s="363" t="s">
        <v>79</v>
      </c>
      <c r="G9" s="363" t="s">
        <v>80</v>
      </c>
      <c r="H9" s="363" t="s">
        <v>339</v>
      </c>
      <c r="I9" s="363" t="s">
        <v>82</v>
      </c>
      <c r="J9" s="363" t="s">
        <v>83</v>
      </c>
      <c r="K9" s="363" t="s">
        <v>84</v>
      </c>
      <c r="L9" s="367" t="s">
        <v>111</v>
      </c>
      <c r="M9" s="367"/>
      <c r="N9" s="363" t="s">
        <v>340</v>
      </c>
      <c r="O9" s="363" t="s">
        <v>86</v>
      </c>
      <c r="P9" s="363" t="s">
        <v>162</v>
      </c>
    </row>
    <row r="10" spans="1:28" s="19" customFormat="1" ht="10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209" t="s">
        <v>163</v>
      </c>
      <c r="M10" s="209" t="s">
        <v>167</v>
      </c>
      <c r="N10" s="365"/>
      <c r="O10" s="365"/>
      <c r="P10" s="365"/>
    </row>
    <row r="11" spans="1:28" s="19" customFormat="1">
      <c r="A11" s="208"/>
      <c r="B11" s="208" t="s">
        <v>94</v>
      </c>
      <c r="C11" s="210">
        <f>SUM(D11:P11)</f>
        <v>611867</v>
      </c>
      <c r="D11" s="211">
        <f t="shared" ref="D11:N11" si="0">SUM(D12:D25)</f>
        <v>236060</v>
      </c>
      <c r="E11" s="211">
        <f t="shared" si="0"/>
        <v>0</v>
      </c>
      <c r="F11" s="211">
        <f t="shared" si="0"/>
        <v>0</v>
      </c>
      <c r="G11" s="211">
        <f t="shared" si="0"/>
        <v>0</v>
      </c>
      <c r="H11" s="211">
        <f t="shared" si="0"/>
        <v>0</v>
      </c>
      <c r="I11" s="211">
        <f t="shared" si="0"/>
        <v>0</v>
      </c>
      <c r="J11" s="211">
        <f t="shared" si="0"/>
        <v>0</v>
      </c>
      <c r="K11" s="211">
        <f t="shared" si="0"/>
        <v>0</v>
      </c>
      <c r="L11" s="211">
        <f t="shared" si="0"/>
        <v>281749</v>
      </c>
      <c r="M11" s="211">
        <f t="shared" si="0"/>
        <v>0</v>
      </c>
      <c r="N11" s="211">
        <f t="shared" si="0"/>
        <v>68058</v>
      </c>
      <c r="O11" s="211">
        <f>SUM(O12:O17)</f>
        <v>0</v>
      </c>
      <c r="P11" s="211">
        <f>SUM(P12:P26)</f>
        <v>26000</v>
      </c>
    </row>
    <row r="12" spans="1:28" s="19" customFormat="1">
      <c r="A12" s="212">
        <v>1</v>
      </c>
      <c r="B12" s="213" t="s">
        <v>432</v>
      </c>
      <c r="C12" s="343">
        <f t="shared" ref="C12:C24" si="1">SUM(D12:P12)</f>
        <v>525959</v>
      </c>
      <c r="D12" s="214">
        <f>139750+91610+4700</f>
        <v>236060</v>
      </c>
      <c r="E12" s="214"/>
      <c r="F12" s="214"/>
      <c r="G12" s="214"/>
      <c r="H12" s="214"/>
      <c r="I12" s="214"/>
      <c r="J12" s="214"/>
      <c r="K12" s="214"/>
      <c r="L12" s="214">
        <f>60100+69900+39407+112342</f>
        <v>281749</v>
      </c>
      <c r="M12" s="214"/>
      <c r="N12" s="214">
        <f>8100+50</f>
        <v>8150</v>
      </c>
      <c r="O12" s="212"/>
      <c r="P12" s="214"/>
    </row>
    <row r="13" spans="1:28" s="19" customFormat="1">
      <c r="A13" s="212">
        <v>2</v>
      </c>
      <c r="B13" s="213" t="s">
        <v>437</v>
      </c>
      <c r="C13" s="343">
        <f t="shared" si="1"/>
        <v>50000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>
        <v>50000</v>
      </c>
      <c r="O13" s="212"/>
      <c r="P13" s="212"/>
    </row>
    <row r="14" spans="1:28" s="19" customFormat="1">
      <c r="A14" s="212">
        <v>3</v>
      </c>
      <c r="B14" s="213" t="s">
        <v>621</v>
      </c>
      <c r="C14" s="343">
        <f t="shared" si="1"/>
        <v>4000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>
        <v>4000</v>
      </c>
      <c r="O14" s="212"/>
      <c r="P14" s="212"/>
    </row>
    <row r="15" spans="1:28" s="19" customFormat="1">
      <c r="A15" s="212">
        <v>4</v>
      </c>
      <c r="B15" s="215" t="s">
        <v>435</v>
      </c>
      <c r="C15" s="343">
        <f t="shared" si="1"/>
        <v>50</v>
      </c>
      <c r="D15" s="212"/>
      <c r="E15" s="214"/>
      <c r="F15" s="214"/>
      <c r="G15" s="214"/>
      <c r="H15" s="214"/>
      <c r="I15" s="214"/>
      <c r="J15" s="214"/>
      <c r="K15" s="214"/>
      <c r="L15" s="214"/>
      <c r="M15" s="214"/>
      <c r="N15" s="214">
        <v>50</v>
      </c>
      <c r="O15" s="212"/>
      <c r="P15" s="212"/>
    </row>
    <row r="16" spans="1:28" s="19" customFormat="1" ht="17.25" customHeight="1">
      <c r="A16" s="212">
        <v>5</v>
      </c>
      <c r="B16" s="215" t="s">
        <v>434</v>
      </c>
      <c r="C16" s="343">
        <f t="shared" si="1"/>
        <v>100</v>
      </c>
      <c r="D16" s="216"/>
      <c r="E16" s="214"/>
      <c r="F16" s="214"/>
      <c r="G16" s="214"/>
      <c r="H16" s="214"/>
      <c r="I16" s="214"/>
      <c r="J16" s="214"/>
      <c r="K16" s="214"/>
      <c r="L16" s="214"/>
      <c r="M16" s="214"/>
      <c r="N16" s="214">
        <v>100</v>
      </c>
      <c r="O16" s="216"/>
      <c r="P16" s="216"/>
    </row>
    <row r="17" spans="1:16" s="19" customFormat="1" ht="19.5" customHeight="1">
      <c r="A17" s="212">
        <v>6</v>
      </c>
      <c r="B17" s="215" t="s">
        <v>622</v>
      </c>
      <c r="C17" s="343">
        <f t="shared" si="1"/>
        <v>658</v>
      </c>
      <c r="D17" s="216"/>
      <c r="E17" s="214"/>
      <c r="F17" s="214"/>
      <c r="G17" s="214"/>
      <c r="H17" s="214"/>
      <c r="I17" s="214"/>
      <c r="J17" s="214"/>
      <c r="K17" s="214"/>
      <c r="L17" s="214"/>
      <c r="M17" s="214"/>
      <c r="N17" s="214">
        <v>658</v>
      </c>
      <c r="O17" s="216"/>
      <c r="P17" s="216"/>
    </row>
    <row r="18" spans="1:16">
      <c r="A18" s="212">
        <v>7</v>
      </c>
      <c r="B18" s="215" t="s">
        <v>623</v>
      </c>
      <c r="C18" s="343">
        <f t="shared" si="1"/>
        <v>1000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4">
        <v>1000</v>
      </c>
      <c r="O18" s="217"/>
      <c r="P18" s="218"/>
    </row>
    <row r="19" spans="1:16">
      <c r="A19" s="212">
        <v>8</v>
      </c>
      <c r="B19" s="215" t="s">
        <v>624</v>
      </c>
      <c r="C19" s="343">
        <f t="shared" si="1"/>
        <v>950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4">
        <v>950</v>
      </c>
      <c r="O19" s="217"/>
      <c r="P19" s="218"/>
    </row>
    <row r="20" spans="1:16">
      <c r="A20" s="212">
        <v>9</v>
      </c>
      <c r="B20" s="215" t="s">
        <v>625</v>
      </c>
      <c r="C20" s="343">
        <f t="shared" si="1"/>
        <v>1950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4">
        <v>1950</v>
      </c>
      <c r="O20" s="217"/>
      <c r="P20" s="218"/>
    </row>
    <row r="21" spans="1:16">
      <c r="A21" s="212">
        <v>10</v>
      </c>
      <c r="B21" s="215" t="s">
        <v>436</v>
      </c>
      <c r="C21" s="343">
        <f t="shared" si="1"/>
        <v>100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4">
        <v>100</v>
      </c>
      <c r="O21" s="217"/>
      <c r="P21" s="218"/>
    </row>
    <row r="22" spans="1:16">
      <c r="A22" s="212">
        <v>11</v>
      </c>
      <c r="B22" s="215" t="s">
        <v>626</v>
      </c>
      <c r="C22" s="343">
        <f t="shared" si="1"/>
        <v>100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4">
        <v>100</v>
      </c>
      <c r="O22" s="217"/>
      <c r="P22" s="218"/>
    </row>
    <row r="23" spans="1:16">
      <c r="A23" s="212">
        <v>12</v>
      </c>
      <c r="B23" s="215" t="s">
        <v>627</v>
      </c>
      <c r="C23" s="343">
        <f t="shared" si="1"/>
        <v>100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4">
        <v>100</v>
      </c>
      <c r="O23" s="217"/>
      <c r="P23" s="218"/>
    </row>
    <row r="24" spans="1:16">
      <c r="A24" s="212">
        <v>13</v>
      </c>
      <c r="B24" s="215" t="s">
        <v>433</v>
      </c>
      <c r="C24" s="343">
        <f t="shared" si="1"/>
        <v>900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4">
        <v>900</v>
      </c>
      <c r="O24" s="217"/>
      <c r="P24" s="218"/>
    </row>
    <row r="25" spans="1:16">
      <c r="A25" s="212">
        <v>14</v>
      </c>
      <c r="B25" s="219" t="s">
        <v>404</v>
      </c>
      <c r="C25" s="343">
        <v>10000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343">
        <v>15000</v>
      </c>
    </row>
    <row r="26" spans="1:16" ht="55.8" customHeight="1">
      <c r="A26" s="212">
        <v>15</v>
      </c>
      <c r="B26" s="344" t="s">
        <v>417</v>
      </c>
      <c r="C26" s="343">
        <v>11000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343">
        <v>11000</v>
      </c>
    </row>
    <row r="27" spans="1:16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</row>
    <row r="28" spans="1:16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</row>
    <row r="29" spans="1:16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</row>
    <row r="30" spans="1:16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</row>
  </sheetData>
  <mergeCells count="21">
    <mergeCell ref="C8:C10"/>
    <mergeCell ref="B8:B10"/>
    <mergeCell ref="E9:E10"/>
    <mergeCell ref="A4:O4"/>
    <mergeCell ref="P9:P10"/>
    <mergeCell ref="D8:P8"/>
    <mergeCell ref="N9:N10"/>
    <mergeCell ref="F9:F10"/>
    <mergeCell ref="G9:G10"/>
    <mergeCell ref="A5:O5"/>
    <mergeCell ref="O9:O10"/>
    <mergeCell ref="A6:O6"/>
    <mergeCell ref="A8:A10"/>
    <mergeCell ref="H9:H10"/>
    <mergeCell ref="D9:D10"/>
    <mergeCell ref="A1:D1"/>
    <mergeCell ref="A2:D2"/>
    <mergeCell ref="L9:M9"/>
    <mergeCell ref="K9:K10"/>
    <mergeCell ref="J9:J10"/>
    <mergeCell ref="I9:I10"/>
  </mergeCells>
  <phoneticPr fontId="5" type="noConversion"/>
  <printOptions horizontalCentered="1"/>
  <pageMargins left="0.5" right="0.5" top="0.65" bottom="0.25" header="0.3" footer="0.5"/>
  <pageSetup paperSize="9" fitToHeight="0" orientation="landscape" r:id="rId1"/>
  <headerFooter alignWithMargins="0">
    <oddHeader>&amp;C&amp;P/&amp;N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BI212"/>
  <sheetViews>
    <sheetView topLeftCell="A4" workbookViewId="0">
      <pane xSplit="3" ySplit="8" topLeftCell="D12" activePane="bottomRight" state="frozen"/>
      <selection activeCell="A4" sqref="A4"/>
      <selection pane="topRight" activeCell="D4" sqref="D4"/>
      <selection pane="bottomLeft" activeCell="A12" sqref="A12"/>
      <selection pane="bottomRight" activeCell="V147" sqref="V147:BI147"/>
    </sheetView>
  </sheetViews>
  <sheetFormatPr defaultColWidth="9" defaultRowHeight="13.8"/>
  <cols>
    <col min="1" max="1" width="5" style="4" customWidth="1"/>
    <col min="2" max="2" width="28.69921875" style="4" customWidth="1"/>
    <col min="3" max="3" width="9.19921875" style="4" customWidth="1"/>
    <col min="4" max="4" width="10.19921875" style="4" customWidth="1"/>
    <col min="5" max="5" width="3.19921875" style="4" hidden="1" customWidth="1"/>
    <col min="6" max="6" width="6.19921875" style="4" customWidth="1"/>
    <col min="7" max="7" width="7.19921875" style="4" customWidth="1"/>
    <col min="8" max="8" width="7.69921875" style="4" customWidth="1"/>
    <col min="9" max="9" width="7.19921875" style="4" customWidth="1"/>
    <col min="10" max="10" width="8" style="4" customWidth="1"/>
    <col min="11" max="11" width="8.09765625" style="4" customWidth="1"/>
    <col min="12" max="12" width="7.19921875" style="4" customWidth="1"/>
    <col min="13" max="13" width="5.69921875" style="4" customWidth="1"/>
    <col min="14" max="14" width="7.8984375" style="4" customWidth="1"/>
    <col min="15" max="15" width="5.09765625" style="4" customWidth="1"/>
    <col min="16" max="16" width="7.3984375" style="4" customWidth="1"/>
    <col min="17" max="17" width="10.59765625" style="4" customWidth="1"/>
    <col min="18" max="18" width="10.3984375" style="4" customWidth="1"/>
    <col min="19" max="19" width="6.69921875" style="4" customWidth="1"/>
    <col min="20" max="20" width="7.8984375" style="5" customWidth="1"/>
    <col min="21" max="21" width="1.3984375" style="4" hidden="1" customWidth="1"/>
    <col min="22" max="22" width="10" style="4" bestFit="1" customWidth="1"/>
    <col min="23" max="23" width="12.59765625" style="4" bestFit="1" customWidth="1"/>
    <col min="24" max="24" width="10.3984375" style="4" bestFit="1" customWidth="1"/>
    <col min="25" max="16384" width="9" style="4"/>
  </cols>
  <sheetData>
    <row r="1" spans="1:23" ht="16.5" customHeight="1">
      <c r="A1" s="390" t="s">
        <v>130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" t="s">
        <v>125</v>
      </c>
      <c r="R1" s="3"/>
      <c r="S1" s="3"/>
    </row>
    <row r="2" spans="1:23" ht="16.5" customHeight="1">
      <c r="A2" s="392" t="s">
        <v>135</v>
      </c>
      <c r="B2" s="392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23">
      <c r="C3" s="393"/>
      <c r="D3" s="393"/>
      <c r="E3" s="393"/>
      <c r="F3" s="393"/>
    </row>
    <row r="4" spans="1:23" ht="17.399999999999999">
      <c r="A4" s="389" t="s">
        <v>335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6"/>
      <c r="V4" s="6"/>
    </row>
    <row r="5" spans="1:23" ht="17.399999999999999">
      <c r="A5" s="389" t="s">
        <v>528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16"/>
      <c r="V5" s="16"/>
    </row>
    <row r="6" spans="1:23" ht="16.8">
      <c r="A6" s="353" t="s">
        <v>146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6"/>
      <c r="V6" s="6"/>
    </row>
    <row r="7" spans="1:23">
      <c r="A7" s="362" t="s">
        <v>522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</row>
    <row r="8" spans="1:23">
      <c r="A8" s="7"/>
      <c r="C8" s="10"/>
      <c r="D8" s="10"/>
      <c r="E8" s="63"/>
      <c r="K8" s="10"/>
      <c r="T8" s="8" t="s">
        <v>148</v>
      </c>
      <c r="U8" s="9"/>
    </row>
    <row r="9" spans="1:23" s="25" customFormat="1" ht="16.5" customHeight="1">
      <c r="A9" s="378" t="s">
        <v>1</v>
      </c>
      <c r="B9" s="378" t="s">
        <v>100</v>
      </c>
      <c r="C9" s="381" t="s">
        <v>105</v>
      </c>
      <c r="D9" s="153" t="s">
        <v>149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375" t="s">
        <v>153</v>
      </c>
    </row>
    <row r="10" spans="1:23" s="25" customFormat="1" ht="16.5" customHeight="1">
      <c r="A10" s="379"/>
      <c r="B10" s="379"/>
      <c r="C10" s="382"/>
      <c r="D10" s="375" t="s">
        <v>154</v>
      </c>
      <c r="E10" s="375" t="s">
        <v>155</v>
      </c>
      <c r="F10" s="375" t="s">
        <v>156</v>
      </c>
      <c r="G10" s="375" t="s">
        <v>157</v>
      </c>
      <c r="H10" s="375" t="s">
        <v>430</v>
      </c>
      <c r="I10" s="375" t="s">
        <v>158</v>
      </c>
      <c r="J10" s="375" t="s">
        <v>83</v>
      </c>
      <c r="K10" s="375" t="s">
        <v>84</v>
      </c>
      <c r="L10" s="386" t="s">
        <v>111</v>
      </c>
      <c r="M10" s="387"/>
      <c r="N10" s="387"/>
      <c r="O10" s="387"/>
      <c r="P10" s="388"/>
      <c r="Q10" s="375" t="s">
        <v>159</v>
      </c>
      <c r="R10" s="384" t="s">
        <v>160</v>
      </c>
      <c r="S10" s="384" t="s">
        <v>161</v>
      </c>
      <c r="T10" s="384" t="s">
        <v>162</v>
      </c>
      <c r="U10" s="376"/>
    </row>
    <row r="11" spans="1:23" s="25" customFormat="1" ht="120.75" customHeight="1">
      <c r="A11" s="380"/>
      <c r="B11" s="380"/>
      <c r="C11" s="383"/>
      <c r="D11" s="377"/>
      <c r="E11" s="377"/>
      <c r="F11" s="377"/>
      <c r="G11" s="377"/>
      <c r="H11" s="377"/>
      <c r="I11" s="377"/>
      <c r="J11" s="377"/>
      <c r="K11" s="377"/>
      <c r="L11" s="156" t="s">
        <v>163</v>
      </c>
      <c r="M11" s="156" t="s">
        <v>164</v>
      </c>
      <c r="N11" s="156" t="s">
        <v>165</v>
      </c>
      <c r="O11" s="156" t="s">
        <v>166</v>
      </c>
      <c r="P11" s="156" t="s">
        <v>167</v>
      </c>
      <c r="Q11" s="377"/>
      <c r="R11" s="385"/>
      <c r="S11" s="385"/>
      <c r="T11" s="385"/>
      <c r="U11" s="376"/>
    </row>
    <row r="12" spans="1:23" s="161" customFormat="1" ht="19.2">
      <c r="A12" s="157"/>
      <c r="B12" s="158" t="s">
        <v>168</v>
      </c>
      <c r="C12" s="159">
        <f>D12+F12+G12+H12+I12+J12+K12+Q12+R12+S12+T12</f>
        <v>2176115.0870000003</v>
      </c>
      <c r="D12" s="47">
        <f>SUM(D13+D147+D186+D189)</f>
        <v>1191206.0870000003</v>
      </c>
      <c r="E12" s="47">
        <f>SUM(E13+E147+E186+E189)</f>
        <v>0</v>
      </c>
      <c r="F12" s="47">
        <f>SUM(F13+F147+F186+F189)</f>
        <v>71225</v>
      </c>
      <c r="G12" s="47">
        <f>SUM(G13+G147+G186+G189)</f>
        <v>33097</v>
      </c>
      <c r="H12" s="47">
        <f t="shared" ref="H12:P12" si="0">SUM(H13+H147+H186+H189)</f>
        <v>2337</v>
      </c>
      <c r="I12" s="47">
        <f t="shared" si="0"/>
        <v>2840</v>
      </c>
      <c r="J12" s="47">
        <f t="shared" si="0"/>
        <v>335205</v>
      </c>
      <c r="K12" s="47">
        <f t="shared" si="0"/>
        <v>221289</v>
      </c>
      <c r="L12" s="47">
        <f t="shared" si="0"/>
        <v>66849</v>
      </c>
      <c r="M12" s="47">
        <f t="shared" si="0"/>
        <v>2816</v>
      </c>
      <c r="N12" s="47">
        <f t="shared" si="0"/>
        <v>147589</v>
      </c>
      <c r="O12" s="47">
        <f t="shared" si="0"/>
        <v>220</v>
      </c>
      <c r="P12" s="47">
        <f t="shared" si="0"/>
        <v>1815</v>
      </c>
      <c r="Q12" s="47">
        <f>SUM(Q13+Q147+Q186+Q189)</f>
        <v>98483</v>
      </c>
      <c r="R12" s="47">
        <f>SUM(R13+R147+R186+R189)</f>
        <v>182724</v>
      </c>
      <c r="S12" s="47">
        <f>SUM(S13+S147+S186+S189)</f>
        <v>35745</v>
      </c>
      <c r="T12" s="47">
        <f>SUM(T13+T147+T186+T189)</f>
        <v>1964</v>
      </c>
      <c r="U12" s="157"/>
      <c r="V12" s="160"/>
      <c r="W12" s="160"/>
    </row>
    <row r="13" spans="1:23" s="25" customFormat="1" ht="19.2">
      <c r="A13" s="20" t="s">
        <v>6</v>
      </c>
      <c r="B13" s="45" t="s">
        <v>169</v>
      </c>
      <c r="C13" s="22">
        <f>C14+C49+C104+C139+C143+C145+C144</f>
        <v>1175205.0870000003</v>
      </c>
      <c r="D13" s="22">
        <f>D14+D49+D104+D139+D143+D145+D144</f>
        <v>1175205.0870000003</v>
      </c>
      <c r="E13" s="22">
        <f t="shared" ref="E13:T13" si="1">E14+E49+E104+E139+E143+E145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162"/>
      <c r="V13" s="24"/>
    </row>
    <row r="14" spans="1:23" s="25" customFormat="1" ht="19.2">
      <c r="A14" s="20"/>
      <c r="B14" s="21" t="s">
        <v>406</v>
      </c>
      <c r="C14" s="22">
        <f>SUM(C15:C48)</f>
        <v>107093.383</v>
      </c>
      <c r="D14" s="22">
        <f>SUM(D15:D48)</f>
        <v>107093.383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6"/>
      <c r="S14" s="46"/>
      <c r="T14" s="46"/>
      <c r="U14" s="23"/>
      <c r="V14" s="24"/>
    </row>
    <row r="15" spans="1:23" s="25" customFormat="1" ht="15.6">
      <c r="A15" s="23">
        <v>1</v>
      </c>
      <c r="B15" s="469" t="s">
        <v>170</v>
      </c>
      <c r="C15" s="26">
        <f>SUM(D15:K15)+SUM(Q15:T15)</f>
        <v>3349.239</v>
      </c>
      <c r="D15" s="27">
        <v>3349.239</v>
      </c>
      <c r="E15" s="42"/>
      <c r="F15" s="42"/>
      <c r="G15" s="42"/>
      <c r="H15" s="42"/>
      <c r="I15" s="42"/>
      <c r="J15" s="42"/>
      <c r="K15" s="42">
        <f>SUM(L15:P15)</f>
        <v>0</v>
      </c>
      <c r="L15" s="42"/>
      <c r="M15" s="48"/>
      <c r="N15" s="48"/>
      <c r="O15" s="48"/>
      <c r="P15" s="42"/>
      <c r="Q15" s="23"/>
      <c r="R15" s="49"/>
      <c r="S15" s="49"/>
      <c r="T15" s="49"/>
      <c r="U15" s="30"/>
    </row>
    <row r="16" spans="1:23" s="25" customFormat="1" ht="15.6">
      <c r="A16" s="30">
        <v>2</v>
      </c>
      <c r="B16" s="469" t="s">
        <v>171</v>
      </c>
      <c r="C16" s="32">
        <f t="shared" ref="C16:C81" si="2">SUM(D16:K16)+SUM(Q16:T16)</f>
        <v>2310.0700000000002</v>
      </c>
      <c r="D16" s="33">
        <v>2310.0700000000002</v>
      </c>
      <c r="E16" s="28"/>
      <c r="F16" s="28"/>
      <c r="G16" s="28"/>
      <c r="H16" s="28"/>
      <c r="I16" s="28"/>
      <c r="J16" s="28"/>
      <c r="K16" s="29">
        <f t="shared" ref="K16:K81" si="3">SUM(L16:P16)</f>
        <v>0</v>
      </c>
      <c r="L16" s="28"/>
      <c r="M16" s="29"/>
      <c r="N16" s="29"/>
      <c r="O16" s="29"/>
      <c r="P16" s="28"/>
      <c r="Q16" s="30"/>
      <c r="R16" s="31"/>
      <c r="S16" s="31"/>
      <c r="T16" s="31"/>
      <c r="U16" s="30"/>
    </row>
    <row r="17" spans="1:21" s="25" customFormat="1" ht="15.6">
      <c r="A17" s="30">
        <v>3</v>
      </c>
      <c r="B17" s="469" t="s">
        <v>172</v>
      </c>
      <c r="C17" s="32">
        <f t="shared" si="2"/>
        <v>2158.25</v>
      </c>
      <c r="D17" s="33">
        <v>2158.25</v>
      </c>
      <c r="E17" s="28"/>
      <c r="F17" s="28"/>
      <c r="G17" s="28"/>
      <c r="H17" s="28"/>
      <c r="I17" s="28"/>
      <c r="J17" s="28"/>
      <c r="K17" s="29">
        <f t="shared" si="3"/>
        <v>0</v>
      </c>
      <c r="L17" s="28"/>
      <c r="M17" s="29"/>
      <c r="N17" s="29"/>
      <c r="O17" s="29"/>
      <c r="P17" s="28"/>
      <c r="Q17" s="30"/>
      <c r="R17" s="31"/>
      <c r="S17" s="31"/>
      <c r="T17" s="31"/>
      <c r="U17" s="30"/>
    </row>
    <row r="18" spans="1:21" s="25" customFormat="1" ht="15.6">
      <c r="A18" s="30">
        <v>4</v>
      </c>
      <c r="B18" s="469" t="s">
        <v>173</v>
      </c>
      <c r="C18" s="32">
        <f t="shared" si="2"/>
        <v>3294.2429999999999</v>
      </c>
      <c r="D18" s="33">
        <v>3294.2429999999999</v>
      </c>
      <c r="E18" s="28"/>
      <c r="F18" s="28"/>
      <c r="G18" s="28"/>
      <c r="H18" s="28"/>
      <c r="I18" s="28"/>
      <c r="J18" s="28"/>
      <c r="K18" s="29">
        <f>SUM(L18:P18)</f>
        <v>0</v>
      </c>
      <c r="L18" s="28"/>
      <c r="M18" s="29"/>
      <c r="N18" s="29"/>
      <c r="O18" s="29"/>
      <c r="P18" s="28"/>
      <c r="Q18" s="30"/>
      <c r="R18" s="31"/>
      <c r="S18" s="31"/>
      <c r="T18" s="31"/>
      <c r="U18" s="30"/>
    </row>
    <row r="19" spans="1:21" s="25" customFormat="1" ht="15.6">
      <c r="A19" s="30">
        <v>5</v>
      </c>
      <c r="B19" s="469" t="s">
        <v>174</v>
      </c>
      <c r="C19" s="32">
        <f t="shared" si="2"/>
        <v>2733.326</v>
      </c>
      <c r="D19" s="33">
        <v>2733.326</v>
      </c>
      <c r="E19" s="28"/>
      <c r="F19" s="28"/>
      <c r="G19" s="28"/>
      <c r="H19" s="28"/>
      <c r="I19" s="28"/>
      <c r="J19" s="28"/>
      <c r="K19" s="29">
        <f t="shared" si="3"/>
        <v>0</v>
      </c>
      <c r="L19" s="28"/>
      <c r="M19" s="29"/>
      <c r="N19" s="29"/>
      <c r="O19" s="29"/>
      <c r="P19" s="28"/>
      <c r="Q19" s="30"/>
      <c r="R19" s="31"/>
      <c r="S19" s="31"/>
      <c r="T19" s="31"/>
      <c r="U19" s="30"/>
    </row>
    <row r="20" spans="1:21" s="25" customFormat="1" ht="15.6">
      <c r="A20" s="30">
        <v>6</v>
      </c>
      <c r="B20" s="469" t="s">
        <v>175</v>
      </c>
      <c r="C20" s="32">
        <f t="shared" si="2"/>
        <v>2237.471</v>
      </c>
      <c r="D20" s="33">
        <v>2237.471</v>
      </c>
      <c r="E20" s="28"/>
      <c r="F20" s="28"/>
      <c r="G20" s="28"/>
      <c r="H20" s="28"/>
      <c r="I20" s="28"/>
      <c r="J20" s="28"/>
      <c r="K20" s="29">
        <f t="shared" si="3"/>
        <v>0</v>
      </c>
      <c r="L20" s="28"/>
      <c r="M20" s="29"/>
      <c r="N20" s="29"/>
      <c r="O20" s="29"/>
      <c r="P20" s="28"/>
      <c r="Q20" s="30"/>
      <c r="R20" s="31"/>
      <c r="S20" s="31"/>
      <c r="T20" s="31"/>
      <c r="U20" s="30"/>
    </row>
    <row r="21" spans="1:21" s="25" customFormat="1" ht="15.6">
      <c r="A21" s="30">
        <v>7</v>
      </c>
      <c r="B21" s="469" t="s">
        <v>176</v>
      </c>
      <c r="C21" s="32">
        <f t="shared" si="2"/>
        <v>1500.1130000000001</v>
      </c>
      <c r="D21" s="33">
        <v>1500.1130000000001</v>
      </c>
      <c r="E21" s="28"/>
      <c r="F21" s="28"/>
      <c r="G21" s="28"/>
      <c r="H21" s="28"/>
      <c r="I21" s="28"/>
      <c r="J21" s="28"/>
      <c r="K21" s="29">
        <f t="shared" si="3"/>
        <v>0</v>
      </c>
      <c r="L21" s="28"/>
      <c r="M21" s="29"/>
      <c r="N21" s="29"/>
      <c r="O21" s="29"/>
      <c r="P21" s="28"/>
      <c r="Q21" s="30"/>
      <c r="R21" s="31"/>
      <c r="S21" s="31"/>
      <c r="T21" s="31"/>
      <c r="U21" s="30"/>
    </row>
    <row r="22" spans="1:21" s="25" customFormat="1" ht="15.6">
      <c r="A22" s="30">
        <v>8</v>
      </c>
      <c r="B22" s="469" t="s">
        <v>177</v>
      </c>
      <c r="C22" s="32">
        <f t="shared" si="2"/>
        <v>4016.6880000000001</v>
      </c>
      <c r="D22" s="33">
        <v>4016.6880000000001</v>
      </c>
      <c r="E22" s="28"/>
      <c r="F22" s="28"/>
      <c r="G22" s="28"/>
      <c r="H22" s="28"/>
      <c r="I22" s="28"/>
      <c r="J22" s="28"/>
      <c r="K22" s="29">
        <f t="shared" si="3"/>
        <v>0</v>
      </c>
      <c r="L22" s="28"/>
      <c r="M22" s="29"/>
      <c r="N22" s="29"/>
      <c r="O22" s="29"/>
      <c r="P22" s="34"/>
      <c r="Q22" s="30"/>
      <c r="R22" s="31"/>
      <c r="S22" s="31"/>
      <c r="T22" s="31"/>
      <c r="U22" s="30"/>
    </row>
    <row r="23" spans="1:21" s="25" customFormat="1" ht="15.6">
      <c r="A23" s="30">
        <v>9</v>
      </c>
      <c r="B23" s="469" t="s">
        <v>178</v>
      </c>
      <c r="C23" s="32">
        <f t="shared" si="2"/>
        <v>3245.8339999999998</v>
      </c>
      <c r="D23" s="33">
        <v>3245.8339999999998</v>
      </c>
      <c r="E23" s="28"/>
      <c r="F23" s="28"/>
      <c r="G23" s="28"/>
      <c r="H23" s="28"/>
      <c r="I23" s="28"/>
      <c r="J23" s="28"/>
      <c r="K23" s="29">
        <f t="shared" si="3"/>
        <v>0</v>
      </c>
      <c r="L23" s="28"/>
      <c r="M23" s="29"/>
      <c r="N23" s="29"/>
      <c r="O23" s="29"/>
      <c r="P23" s="28"/>
      <c r="Q23" s="30"/>
      <c r="R23" s="31"/>
      <c r="S23" s="31"/>
      <c r="T23" s="31"/>
      <c r="U23" s="30"/>
    </row>
    <row r="24" spans="1:21" s="25" customFormat="1" ht="15.6">
      <c r="A24" s="30">
        <v>10</v>
      </c>
      <c r="B24" s="469" t="s">
        <v>179</v>
      </c>
      <c r="C24" s="32">
        <f t="shared" si="2"/>
        <v>2485.0630000000001</v>
      </c>
      <c r="D24" s="33">
        <v>2485.0630000000001</v>
      </c>
      <c r="E24" s="28"/>
      <c r="F24" s="28"/>
      <c r="G24" s="28"/>
      <c r="H24" s="28"/>
      <c r="I24" s="28"/>
      <c r="J24" s="28"/>
      <c r="K24" s="29">
        <f t="shared" si="3"/>
        <v>0</v>
      </c>
      <c r="L24" s="28"/>
      <c r="M24" s="29"/>
      <c r="N24" s="29"/>
      <c r="O24" s="29"/>
      <c r="P24" s="28"/>
      <c r="Q24" s="30"/>
      <c r="R24" s="31"/>
      <c r="S24" s="31"/>
      <c r="T24" s="31"/>
      <c r="U24" s="30"/>
    </row>
    <row r="25" spans="1:21" s="25" customFormat="1" ht="15.6">
      <c r="A25" s="30">
        <v>11</v>
      </c>
      <c r="B25" s="469" t="s">
        <v>180</v>
      </c>
      <c r="C25" s="32">
        <f t="shared" si="2"/>
        <v>3809.4450000000002</v>
      </c>
      <c r="D25" s="33">
        <v>3809.4450000000002</v>
      </c>
      <c r="E25" s="28"/>
      <c r="F25" s="28"/>
      <c r="G25" s="28"/>
      <c r="H25" s="28"/>
      <c r="I25" s="28"/>
      <c r="J25" s="28"/>
      <c r="K25" s="29">
        <f t="shared" si="3"/>
        <v>0</v>
      </c>
      <c r="L25" s="28"/>
      <c r="M25" s="29"/>
      <c r="N25" s="29"/>
      <c r="O25" s="29"/>
      <c r="P25" s="28"/>
      <c r="Q25" s="30"/>
      <c r="R25" s="31"/>
      <c r="S25" s="31"/>
      <c r="T25" s="31"/>
      <c r="U25" s="30"/>
    </row>
    <row r="26" spans="1:21" s="25" customFormat="1" ht="15.6">
      <c r="A26" s="30">
        <v>12</v>
      </c>
      <c r="B26" s="469" t="s">
        <v>181</v>
      </c>
      <c r="C26" s="32">
        <f t="shared" si="2"/>
        <v>3215.2109999999998</v>
      </c>
      <c r="D26" s="33">
        <v>3215.2109999999998</v>
      </c>
      <c r="E26" s="28"/>
      <c r="F26" s="28"/>
      <c r="G26" s="28"/>
      <c r="H26" s="28"/>
      <c r="I26" s="28"/>
      <c r="J26" s="28"/>
      <c r="K26" s="29">
        <f t="shared" si="3"/>
        <v>0</v>
      </c>
      <c r="L26" s="28"/>
      <c r="M26" s="29"/>
      <c r="N26" s="29"/>
      <c r="O26" s="29"/>
      <c r="P26" s="28"/>
      <c r="Q26" s="30"/>
      <c r="R26" s="31"/>
      <c r="S26" s="31"/>
      <c r="T26" s="31"/>
      <c r="U26" s="30"/>
    </row>
    <row r="27" spans="1:21" s="25" customFormat="1" ht="15.6">
      <c r="A27" s="30">
        <v>13</v>
      </c>
      <c r="B27" s="469" t="s">
        <v>182</v>
      </c>
      <c r="C27" s="32">
        <f t="shared" si="2"/>
        <v>3560.348</v>
      </c>
      <c r="D27" s="33">
        <v>3560.348</v>
      </c>
      <c r="E27" s="28"/>
      <c r="F27" s="28"/>
      <c r="G27" s="28"/>
      <c r="H27" s="28"/>
      <c r="I27" s="28"/>
      <c r="J27" s="28"/>
      <c r="K27" s="29">
        <f t="shared" si="3"/>
        <v>0</v>
      </c>
      <c r="L27" s="28"/>
      <c r="M27" s="29"/>
      <c r="N27" s="29"/>
      <c r="O27" s="29"/>
      <c r="P27" s="28"/>
      <c r="Q27" s="30"/>
      <c r="R27" s="31"/>
      <c r="S27" s="31"/>
      <c r="T27" s="31"/>
      <c r="U27" s="30"/>
    </row>
    <row r="28" spans="1:21" s="25" customFormat="1" ht="15.6">
      <c r="A28" s="30">
        <v>14</v>
      </c>
      <c r="B28" s="469" t="s">
        <v>183</v>
      </c>
      <c r="C28" s="32">
        <f t="shared" si="2"/>
        <v>2453.4290000000001</v>
      </c>
      <c r="D28" s="33">
        <v>2453.4290000000001</v>
      </c>
      <c r="E28" s="28"/>
      <c r="F28" s="28"/>
      <c r="G28" s="28"/>
      <c r="H28" s="28"/>
      <c r="I28" s="28"/>
      <c r="J28" s="28"/>
      <c r="K28" s="29">
        <f t="shared" si="3"/>
        <v>0</v>
      </c>
      <c r="L28" s="28"/>
      <c r="M28" s="29"/>
      <c r="N28" s="29"/>
      <c r="O28" s="29"/>
      <c r="P28" s="28"/>
      <c r="Q28" s="30"/>
      <c r="R28" s="31"/>
      <c r="S28" s="31"/>
      <c r="T28" s="31"/>
      <c r="U28" s="30"/>
    </row>
    <row r="29" spans="1:21" s="25" customFormat="1" ht="15.6">
      <c r="A29" s="30">
        <v>15</v>
      </c>
      <c r="B29" s="469" t="s">
        <v>184</v>
      </c>
      <c r="C29" s="32">
        <f t="shared" si="2"/>
        <v>4135.0910000000003</v>
      </c>
      <c r="D29" s="33">
        <v>4135.0910000000003</v>
      </c>
      <c r="E29" s="28"/>
      <c r="F29" s="28"/>
      <c r="G29" s="28"/>
      <c r="H29" s="28"/>
      <c r="I29" s="28"/>
      <c r="J29" s="28"/>
      <c r="K29" s="29">
        <f t="shared" si="3"/>
        <v>0</v>
      </c>
      <c r="L29" s="28"/>
      <c r="M29" s="29"/>
      <c r="N29" s="29"/>
      <c r="O29" s="29"/>
      <c r="P29" s="28"/>
      <c r="Q29" s="30"/>
      <c r="R29" s="31"/>
      <c r="S29" s="31"/>
      <c r="T29" s="31"/>
      <c r="U29" s="30"/>
    </row>
    <row r="30" spans="1:21" s="25" customFormat="1" ht="15.6">
      <c r="A30" s="30">
        <v>16</v>
      </c>
      <c r="B30" s="469" t="s">
        <v>185</v>
      </c>
      <c r="C30" s="32">
        <f t="shared" si="2"/>
        <v>4603.3029999999999</v>
      </c>
      <c r="D30" s="33">
        <v>4603.3029999999999</v>
      </c>
      <c r="E30" s="28"/>
      <c r="F30" s="28"/>
      <c r="G30" s="28"/>
      <c r="H30" s="28"/>
      <c r="I30" s="28"/>
      <c r="J30" s="28"/>
      <c r="K30" s="29">
        <f t="shared" si="3"/>
        <v>0</v>
      </c>
      <c r="L30" s="28"/>
      <c r="M30" s="29"/>
      <c r="N30" s="29"/>
      <c r="O30" s="29"/>
      <c r="P30" s="28"/>
      <c r="Q30" s="30"/>
      <c r="R30" s="31"/>
      <c r="S30" s="31"/>
      <c r="T30" s="31"/>
      <c r="U30" s="30"/>
    </row>
    <row r="31" spans="1:21" s="25" customFormat="1" ht="15.6">
      <c r="A31" s="30">
        <v>17</v>
      </c>
      <c r="B31" s="469" t="s">
        <v>186</v>
      </c>
      <c r="C31" s="32">
        <f t="shared" si="2"/>
        <v>2307.096</v>
      </c>
      <c r="D31" s="33">
        <v>2307.096</v>
      </c>
      <c r="E31" s="28"/>
      <c r="F31" s="28"/>
      <c r="G31" s="28"/>
      <c r="H31" s="28"/>
      <c r="I31" s="28"/>
      <c r="J31" s="28"/>
      <c r="K31" s="29">
        <f t="shared" si="3"/>
        <v>0</v>
      </c>
      <c r="L31" s="28"/>
      <c r="M31" s="29"/>
      <c r="N31" s="29"/>
      <c r="O31" s="29"/>
      <c r="P31" s="28"/>
      <c r="Q31" s="30"/>
      <c r="R31" s="31"/>
      <c r="S31" s="31"/>
      <c r="T31" s="31"/>
      <c r="U31" s="30"/>
    </row>
    <row r="32" spans="1:21" s="25" customFormat="1" ht="15.6">
      <c r="A32" s="30">
        <v>18</v>
      </c>
      <c r="B32" s="469" t="s">
        <v>187</v>
      </c>
      <c r="C32" s="32">
        <f t="shared" si="2"/>
        <v>1938.771</v>
      </c>
      <c r="D32" s="33">
        <v>1938.771</v>
      </c>
      <c r="E32" s="28"/>
      <c r="F32" s="28"/>
      <c r="G32" s="28"/>
      <c r="H32" s="28"/>
      <c r="I32" s="28"/>
      <c r="J32" s="28"/>
      <c r="K32" s="29">
        <f t="shared" si="3"/>
        <v>0</v>
      </c>
      <c r="L32" s="28"/>
      <c r="M32" s="29"/>
      <c r="N32" s="29"/>
      <c r="O32" s="29"/>
      <c r="P32" s="28"/>
      <c r="Q32" s="30"/>
      <c r="R32" s="31"/>
      <c r="S32" s="31"/>
      <c r="T32" s="31"/>
      <c r="U32" s="30"/>
    </row>
    <row r="33" spans="1:21" s="25" customFormat="1" ht="15.6">
      <c r="A33" s="30">
        <v>19</v>
      </c>
      <c r="B33" s="469" t="s">
        <v>188</v>
      </c>
      <c r="C33" s="32">
        <f t="shared" si="2"/>
        <v>2372.511</v>
      </c>
      <c r="D33" s="33">
        <v>2372.511</v>
      </c>
      <c r="E33" s="28"/>
      <c r="F33" s="28"/>
      <c r="G33" s="28"/>
      <c r="H33" s="28"/>
      <c r="I33" s="28"/>
      <c r="J33" s="28"/>
      <c r="K33" s="29">
        <f t="shared" si="3"/>
        <v>0</v>
      </c>
      <c r="L33" s="28"/>
      <c r="M33" s="29"/>
      <c r="N33" s="29"/>
      <c r="O33" s="29"/>
      <c r="P33" s="28"/>
      <c r="Q33" s="30"/>
      <c r="R33" s="31"/>
      <c r="S33" s="31"/>
      <c r="T33" s="31"/>
      <c r="U33" s="30"/>
    </row>
    <row r="34" spans="1:21" s="25" customFormat="1" ht="15.6">
      <c r="A34" s="30">
        <v>20</v>
      </c>
      <c r="B34" s="469" t="s">
        <v>189</v>
      </c>
      <c r="C34" s="32">
        <f t="shared" si="2"/>
        <v>2481.4940000000001</v>
      </c>
      <c r="D34" s="33">
        <v>2481.4940000000001</v>
      </c>
      <c r="E34" s="28"/>
      <c r="F34" s="28"/>
      <c r="G34" s="28"/>
      <c r="H34" s="28"/>
      <c r="I34" s="28"/>
      <c r="J34" s="28"/>
      <c r="K34" s="29">
        <f t="shared" si="3"/>
        <v>0</v>
      </c>
      <c r="L34" s="28"/>
      <c r="M34" s="29"/>
      <c r="N34" s="29"/>
      <c r="O34" s="29"/>
      <c r="P34" s="28"/>
      <c r="Q34" s="30"/>
      <c r="R34" s="31"/>
      <c r="S34" s="31"/>
      <c r="T34" s="31"/>
      <c r="U34" s="30"/>
    </row>
    <row r="35" spans="1:21" s="25" customFormat="1" ht="15.6">
      <c r="A35" s="30">
        <v>21</v>
      </c>
      <c r="B35" s="469" t="s">
        <v>190</v>
      </c>
      <c r="C35" s="32">
        <f t="shared" si="2"/>
        <v>3656.4769999999999</v>
      </c>
      <c r="D35" s="33">
        <v>3656.4769999999999</v>
      </c>
      <c r="E35" s="28"/>
      <c r="F35" s="28"/>
      <c r="G35" s="28"/>
      <c r="H35" s="28"/>
      <c r="I35" s="28"/>
      <c r="J35" s="28"/>
      <c r="K35" s="29">
        <f t="shared" si="3"/>
        <v>0</v>
      </c>
      <c r="L35" s="28"/>
      <c r="M35" s="29"/>
      <c r="N35" s="29"/>
      <c r="O35" s="29"/>
      <c r="P35" s="28"/>
      <c r="Q35" s="30"/>
      <c r="R35" s="31"/>
      <c r="S35" s="31"/>
      <c r="T35" s="31"/>
      <c r="U35" s="30"/>
    </row>
    <row r="36" spans="1:21" s="25" customFormat="1" ht="15.6">
      <c r="A36" s="30">
        <v>22</v>
      </c>
      <c r="B36" s="469" t="s">
        <v>191</v>
      </c>
      <c r="C36" s="32">
        <f t="shared" si="2"/>
        <v>2330.422</v>
      </c>
      <c r="D36" s="33">
        <v>2330.422</v>
      </c>
      <c r="E36" s="28"/>
      <c r="F36" s="28"/>
      <c r="G36" s="28"/>
      <c r="H36" s="28"/>
      <c r="I36" s="28"/>
      <c r="J36" s="28"/>
      <c r="K36" s="29">
        <f t="shared" si="3"/>
        <v>0</v>
      </c>
      <c r="L36" s="28"/>
      <c r="M36" s="29"/>
      <c r="N36" s="29"/>
      <c r="O36" s="29"/>
      <c r="P36" s="28"/>
      <c r="Q36" s="30"/>
      <c r="R36" s="31"/>
      <c r="S36" s="31"/>
      <c r="T36" s="31"/>
      <c r="U36" s="30"/>
    </row>
    <row r="37" spans="1:21" s="25" customFormat="1" ht="15.6">
      <c r="A37" s="30">
        <v>23</v>
      </c>
      <c r="B37" s="469" t="s">
        <v>192</v>
      </c>
      <c r="C37" s="32">
        <f t="shared" si="2"/>
        <v>6476.1180000000004</v>
      </c>
      <c r="D37" s="33">
        <v>6476.1180000000004</v>
      </c>
      <c r="E37" s="28"/>
      <c r="F37" s="28"/>
      <c r="G37" s="28"/>
      <c r="H37" s="28"/>
      <c r="I37" s="28"/>
      <c r="J37" s="28"/>
      <c r="K37" s="29">
        <f t="shared" si="3"/>
        <v>0</v>
      </c>
      <c r="L37" s="28"/>
      <c r="M37" s="29"/>
      <c r="N37" s="29"/>
      <c r="O37" s="29"/>
      <c r="P37" s="28"/>
      <c r="Q37" s="30"/>
      <c r="R37" s="31"/>
      <c r="S37" s="31"/>
      <c r="T37" s="31"/>
      <c r="U37" s="30"/>
    </row>
    <row r="38" spans="1:21" s="25" customFormat="1" ht="15.6">
      <c r="A38" s="30">
        <v>24</v>
      </c>
      <c r="B38" s="469" t="s">
        <v>193</v>
      </c>
      <c r="C38" s="32">
        <f t="shared" si="2"/>
        <v>3436.9470000000001</v>
      </c>
      <c r="D38" s="33">
        <v>3436.9470000000001</v>
      </c>
      <c r="E38" s="28"/>
      <c r="F38" s="28"/>
      <c r="G38" s="28"/>
      <c r="H38" s="28"/>
      <c r="I38" s="28"/>
      <c r="J38" s="28"/>
      <c r="K38" s="29">
        <f t="shared" si="3"/>
        <v>0</v>
      </c>
      <c r="L38" s="28"/>
      <c r="M38" s="29"/>
      <c r="N38" s="29"/>
      <c r="O38" s="29"/>
      <c r="P38" s="28"/>
      <c r="Q38" s="30"/>
      <c r="R38" s="31"/>
      <c r="S38" s="31"/>
      <c r="T38" s="31"/>
      <c r="U38" s="30"/>
    </row>
    <row r="39" spans="1:21" s="25" customFormat="1" ht="15.6">
      <c r="A39" s="30">
        <v>25</v>
      </c>
      <c r="B39" s="469" t="s">
        <v>194</v>
      </c>
      <c r="C39" s="32">
        <f t="shared" si="2"/>
        <v>6364.259</v>
      </c>
      <c r="D39" s="33">
        <v>6364.259</v>
      </c>
      <c r="E39" s="28"/>
      <c r="F39" s="28"/>
      <c r="G39" s="28"/>
      <c r="H39" s="28"/>
      <c r="I39" s="28"/>
      <c r="J39" s="28"/>
      <c r="K39" s="29">
        <f t="shared" si="3"/>
        <v>0</v>
      </c>
      <c r="L39" s="28"/>
      <c r="M39" s="29"/>
      <c r="N39" s="29"/>
      <c r="O39" s="29"/>
      <c r="P39" s="28"/>
      <c r="Q39" s="30"/>
      <c r="R39" s="31"/>
      <c r="S39" s="31"/>
      <c r="T39" s="31"/>
      <c r="U39" s="30"/>
    </row>
    <row r="40" spans="1:21" s="25" customFormat="1" ht="15.6">
      <c r="A40" s="30">
        <v>26</v>
      </c>
      <c r="B40" s="469" t="s">
        <v>195</v>
      </c>
      <c r="C40" s="32">
        <f t="shared" si="2"/>
        <v>2602.9859999999999</v>
      </c>
      <c r="D40" s="33">
        <v>2602.9859999999999</v>
      </c>
      <c r="E40" s="28"/>
      <c r="F40" s="28"/>
      <c r="G40" s="28"/>
      <c r="H40" s="28"/>
      <c r="I40" s="28"/>
      <c r="J40" s="28"/>
      <c r="K40" s="29">
        <f t="shared" si="3"/>
        <v>0</v>
      </c>
      <c r="L40" s="28"/>
      <c r="M40" s="29"/>
      <c r="N40" s="29"/>
      <c r="O40" s="29"/>
      <c r="P40" s="28"/>
      <c r="Q40" s="30"/>
      <c r="R40" s="31"/>
      <c r="S40" s="31"/>
      <c r="T40" s="31"/>
      <c r="U40" s="30"/>
    </row>
    <row r="41" spans="1:21" s="25" customFormat="1" ht="15.6">
      <c r="A41" s="30">
        <v>27</v>
      </c>
      <c r="B41" s="469" t="s">
        <v>196</v>
      </c>
      <c r="C41" s="32">
        <f t="shared" si="2"/>
        <v>4024.7339999999999</v>
      </c>
      <c r="D41" s="33">
        <v>4024.7339999999999</v>
      </c>
      <c r="E41" s="28"/>
      <c r="F41" s="28"/>
      <c r="G41" s="28"/>
      <c r="H41" s="28"/>
      <c r="I41" s="28"/>
      <c r="J41" s="28"/>
      <c r="K41" s="29">
        <f t="shared" si="3"/>
        <v>0</v>
      </c>
      <c r="L41" s="28"/>
      <c r="M41" s="29"/>
      <c r="N41" s="29"/>
      <c r="O41" s="29"/>
      <c r="P41" s="28"/>
      <c r="Q41" s="30"/>
      <c r="R41" s="31"/>
      <c r="S41" s="31"/>
      <c r="T41" s="31"/>
      <c r="U41" s="30"/>
    </row>
    <row r="42" spans="1:21" s="25" customFormat="1" ht="15.6">
      <c r="A42" s="30">
        <v>28</v>
      </c>
      <c r="B42" s="469" t="s">
        <v>197</v>
      </c>
      <c r="C42" s="32">
        <f t="shared" si="2"/>
        <v>2012.0329999999999</v>
      </c>
      <c r="D42" s="33">
        <v>2012.0329999999999</v>
      </c>
      <c r="E42" s="28"/>
      <c r="F42" s="28"/>
      <c r="G42" s="28"/>
      <c r="H42" s="28"/>
      <c r="I42" s="28"/>
      <c r="J42" s="28"/>
      <c r="K42" s="29">
        <f t="shared" si="3"/>
        <v>0</v>
      </c>
      <c r="L42" s="28"/>
      <c r="M42" s="29"/>
      <c r="N42" s="29"/>
      <c r="O42" s="29"/>
      <c r="P42" s="28"/>
      <c r="Q42" s="30"/>
      <c r="R42" s="31"/>
      <c r="S42" s="31"/>
      <c r="T42" s="31"/>
      <c r="U42" s="30"/>
    </row>
    <row r="43" spans="1:21" s="25" customFormat="1" ht="15.6">
      <c r="A43" s="30">
        <v>29</v>
      </c>
      <c r="B43" s="469" t="s">
        <v>198</v>
      </c>
      <c r="C43" s="32">
        <f t="shared" si="2"/>
        <v>4152.67</v>
      </c>
      <c r="D43" s="33">
        <v>4152.67</v>
      </c>
      <c r="E43" s="28"/>
      <c r="F43" s="28"/>
      <c r="G43" s="28"/>
      <c r="H43" s="28"/>
      <c r="I43" s="28"/>
      <c r="J43" s="28"/>
      <c r="K43" s="29">
        <f t="shared" si="3"/>
        <v>0</v>
      </c>
      <c r="L43" s="28"/>
      <c r="M43" s="29"/>
      <c r="N43" s="29"/>
      <c r="O43" s="29"/>
      <c r="P43" s="28"/>
      <c r="Q43" s="30"/>
      <c r="R43" s="31"/>
      <c r="S43" s="31"/>
      <c r="T43" s="31"/>
      <c r="U43" s="30"/>
    </row>
    <row r="44" spans="1:21" s="25" customFormat="1" ht="15.6">
      <c r="A44" s="30">
        <v>30</v>
      </c>
      <c r="B44" s="469" t="s">
        <v>199</v>
      </c>
      <c r="C44" s="32">
        <f t="shared" si="2"/>
        <v>2623.75</v>
      </c>
      <c r="D44" s="33">
        <v>2623.75</v>
      </c>
      <c r="E44" s="28"/>
      <c r="F44" s="28"/>
      <c r="G44" s="28"/>
      <c r="H44" s="28"/>
      <c r="I44" s="28"/>
      <c r="J44" s="28"/>
      <c r="K44" s="29">
        <f t="shared" si="3"/>
        <v>0</v>
      </c>
      <c r="L44" s="28"/>
      <c r="M44" s="29"/>
      <c r="N44" s="29"/>
      <c r="O44" s="29"/>
      <c r="P44" s="28"/>
      <c r="Q44" s="30"/>
      <c r="R44" s="31"/>
      <c r="S44" s="31"/>
      <c r="T44" s="31"/>
      <c r="U44" s="30"/>
    </row>
    <row r="45" spans="1:21" s="25" customFormat="1" ht="15.6">
      <c r="A45" s="30">
        <v>31</v>
      </c>
      <c r="B45" s="469" t="s">
        <v>200</v>
      </c>
      <c r="C45" s="32">
        <f t="shared" si="2"/>
        <v>2635.2249999999999</v>
      </c>
      <c r="D45" s="33">
        <v>2635.2249999999999</v>
      </c>
      <c r="E45" s="28"/>
      <c r="F45" s="28"/>
      <c r="G45" s="28"/>
      <c r="H45" s="28"/>
      <c r="I45" s="28"/>
      <c r="J45" s="28"/>
      <c r="K45" s="29">
        <f t="shared" si="3"/>
        <v>0</v>
      </c>
      <c r="L45" s="28"/>
      <c r="M45" s="29"/>
      <c r="N45" s="29"/>
      <c r="O45" s="29"/>
      <c r="P45" s="28"/>
      <c r="Q45" s="30"/>
      <c r="R45" s="31"/>
      <c r="S45" s="31"/>
      <c r="T45" s="31"/>
      <c r="U45" s="30"/>
    </row>
    <row r="46" spans="1:21" s="25" customFormat="1" ht="15.6">
      <c r="A46" s="30">
        <v>32</v>
      </c>
      <c r="B46" s="469" t="s">
        <v>202</v>
      </c>
      <c r="C46" s="32">
        <f t="shared" si="2"/>
        <v>2360.0859999999998</v>
      </c>
      <c r="D46" s="33">
        <v>2360.0859999999998</v>
      </c>
      <c r="E46" s="28"/>
      <c r="F46" s="28"/>
      <c r="G46" s="28"/>
      <c r="H46" s="28"/>
      <c r="I46" s="28"/>
      <c r="J46" s="28"/>
      <c r="K46" s="29">
        <f t="shared" si="3"/>
        <v>0</v>
      </c>
      <c r="L46" s="28"/>
      <c r="M46" s="29"/>
      <c r="N46" s="29"/>
      <c r="O46" s="29"/>
      <c r="P46" s="28"/>
      <c r="Q46" s="30"/>
      <c r="R46" s="31"/>
      <c r="S46" s="31"/>
      <c r="T46" s="31"/>
      <c r="U46" s="30"/>
    </row>
    <row r="47" spans="1:21" s="25" customFormat="1" ht="15.6">
      <c r="A47" s="30">
        <v>33</v>
      </c>
      <c r="B47" s="469" t="s">
        <v>201</v>
      </c>
      <c r="C47" s="32">
        <f t="shared" si="2"/>
        <v>2895.8609999999999</v>
      </c>
      <c r="D47" s="33">
        <v>2895.8609999999999</v>
      </c>
      <c r="E47" s="28"/>
      <c r="F47" s="28"/>
      <c r="G47" s="28"/>
      <c r="H47" s="28"/>
      <c r="I47" s="28"/>
      <c r="J47" s="28"/>
      <c r="K47" s="29">
        <f>SUM(L47:P47)</f>
        <v>0</v>
      </c>
      <c r="L47" s="28"/>
      <c r="M47" s="29"/>
      <c r="N47" s="29"/>
      <c r="O47" s="29"/>
      <c r="P47" s="28"/>
      <c r="Q47" s="30"/>
      <c r="R47" s="31"/>
      <c r="S47" s="31"/>
      <c r="T47" s="31"/>
      <c r="U47" s="30"/>
    </row>
    <row r="48" spans="1:21" s="25" customFormat="1" ht="15.6">
      <c r="A48" s="60">
        <v>34</v>
      </c>
      <c r="B48" s="470" t="s">
        <v>394</v>
      </c>
      <c r="C48" s="36">
        <f t="shared" si="2"/>
        <v>3314.819</v>
      </c>
      <c r="D48" s="471">
        <v>3314.819</v>
      </c>
      <c r="E48" s="35"/>
      <c r="F48" s="35"/>
      <c r="G48" s="35"/>
      <c r="H48" s="35"/>
      <c r="I48" s="35"/>
      <c r="J48" s="35"/>
      <c r="K48" s="43"/>
      <c r="L48" s="35"/>
      <c r="M48" s="43"/>
      <c r="N48" s="43"/>
      <c r="O48" s="43"/>
      <c r="P48" s="35"/>
      <c r="Q48" s="37"/>
      <c r="R48" s="44"/>
      <c r="S48" s="44"/>
      <c r="T48" s="44"/>
      <c r="U48" s="30"/>
    </row>
    <row r="49" spans="1:21" s="25" customFormat="1" ht="15.6">
      <c r="A49" s="38"/>
      <c r="B49" s="472" t="s">
        <v>405</v>
      </c>
      <c r="C49" s="50">
        <f>SUM(C50:C103)</f>
        <v>589852.13800000015</v>
      </c>
      <c r="D49" s="50">
        <f t="shared" ref="D49:T49" si="4">SUM(D50:D103)</f>
        <v>589852.13800000015</v>
      </c>
      <c r="E49" s="50">
        <f t="shared" si="4"/>
        <v>0</v>
      </c>
      <c r="F49" s="50">
        <f t="shared" si="4"/>
        <v>0</v>
      </c>
      <c r="G49" s="50">
        <f t="shared" si="4"/>
        <v>0</v>
      </c>
      <c r="H49" s="50">
        <f t="shared" si="4"/>
        <v>0</v>
      </c>
      <c r="I49" s="50">
        <f t="shared" si="4"/>
        <v>0</v>
      </c>
      <c r="J49" s="50">
        <f t="shared" si="4"/>
        <v>0</v>
      </c>
      <c r="K49" s="50">
        <f t="shared" si="4"/>
        <v>0</v>
      </c>
      <c r="L49" s="50">
        <f t="shared" si="4"/>
        <v>0</v>
      </c>
      <c r="M49" s="50">
        <f t="shared" si="4"/>
        <v>0</v>
      </c>
      <c r="N49" s="50">
        <f t="shared" si="4"/>
        <v>0</v>
      </c>
      <c r="O49" s="50">
        <f t="shared" si="4"/>
        <v>0</v>
      </c>
      <c r="P49" s="50">
        <f t="shared" si="4"/>
        <v>0</v>
      </c>
      <c r="Q49" s="50">
        <f t="shared" si="4"/>
        <v>0</v>
      </c>
      <c r="R49" s="50">
        <f t="shared" si="4"/>
        <v>0</v>
      </c>
      <c r="S49" s="50">
        <f t="shared" si="4"/>
        <v>0</v>
      </c>
      <c r="T49" s="50">
        <f t="shared" si="4"/>
        <v>0</v>
      </c>
      <c r="U49" s="30"/>
    </row>
    <row r="50" spans="1:21" s="25" customFormat="1" ht="15.6">
      <c r="A50" s="23">
        <v>1</v>
      </c>
      <c r="B50" s="469" t="s">
        <v>203</v>
      </c>
      <c r="C50" s="26">
        <f t="shared" si="2"/>
        <v>11485.77</v>
      </c>
      <c r="D50" s="27">
        <v>11485.77</v>
      </c>
      <c r="E50" s="42"/>
      <c r="F50" s="42"/>
      <c r="G50" s="42"/>
      <c r="H50" s="42"/>
      <c r="I50" s="42"/>
      <c r="J50" s="42"/>
      <c r="K50" s="48">
        <f t="shared" si="3"/>
        <v>0</v>
      </c>
      <c r="L50" s="42"/>
      <c r="M50" s="48"/>
      <c r="N50" s="48"/>
      <c r="O50" s="48"/>
      <c r="P50" s="42"/>
      <c r="Q50" s="23"/>
      <c r="R50" s="49"/>
      <c r="S50" s="49"/>
      <c r="T50" s="49"/>
      <c r="U50" s="30"/>
    </row>
    <row r="51" spans="1:21" s="25" customFormat="1" ht="15.6">
      <c r="A51" s="30">
        <v>2</v>
      </c>
      <c r="B51" s="469" t="s">
        <v>204</v>
      </c>
      <c r="C51" s="32">
        <f t="shared" si="2"/>
        <v>8037.0150000000003</v>
      </c>
      <c r="D51" s="33">
        <v>8037.0150000000003</v>
      </c>
      <c r="E51" s="28"/>
      <c r="F51" s="28"/>
      <c r="G51" s="28"/>
      <c r="H51" s="28"/>
      <c r="I51" s="28"/>
      <c r="J51" s="28"/>
      <c r="K51" s="29">
        <f t="shared" si="3"/>
        <v>0</v>
      </c>
      <c r="L51" s="28"/>
      <c r="M51" s="29"/>
      <c r="N51" s="29"/>
      <c r="O51" s="29"/>
      <c r="P51" s="28"/>
      <c r="Q51" s="30"/>
      <c r="R51" s="31"/>
      <c r="S51" s="31"/>
      <c r="T51" s="31"/>
      <c r="U51" s="30"/>
    </row>
    <row r="52" spans="1:21" s="25" customFormat="1" ht="15.6">
      <c r="A52" s="30">
        <v>3</v>
      </c>
      <c r="B52" s="469" t="s">
        <v>205</v>
      </c>
      <c r="C52" s="32">
        <f t="shared" si="2"/>
        <v>9519.8700000000008</v>
      </c>
      <c r="D52" s="33">
        <v>9519.8700000000008</v>
      </c>
      <c r="E52" s="28"/>
      <c r="F52" s="28"/>
      <c r="G52" s="28"/>
      <c r="H52" s="28"/>
      <c r="I52" s="28"/>
      <c r="J52" s="28"/>
      <c r="K52" s="29">
        <f t="shared" si="3"/>
        <v>0</v>
      </c>
      <c r="L52" s="28"/>
      <c r="M52" s="29"/>
      <c r="N52" s="29"/>
      <c r="O52" s="29"/>
      <c r="P52" s="28"/>
      <c r="Q52" s="30"/>
      <c r="R52" s="31"/>
      <c r="S52" s="31"/>
      <c r="T52" s="31"/>
      <c r="U52" s="30"/>
    </row>
    <row r="53" spans="1:21" s="25" customFormat="1" ht="15.6">
      <c r="A53" s="30">
        <v>4</v>
      </c>
      <c r="B53" s="469" t="s">
        <v>206</v>
      </c>
      <c r="C53" s="32">
        <f t="shared" si="2"/>
        <v>20258.738000000001</v>
      </c>
      <c r="D53" s="33">
        <v>20258.738000000001</v>
      </c>
      <c r="E53" s="28"/>
      <c r="F53" s="28"/>
      <c r="G53" s="28"/>
      <c r="H53" s="28"/>
      <c r="I53" s="28"/>
      <c r="J53" s="28"/>
      <c r="K53" s="29">
        <f t="shared" si="3"/>
        <v>0</v>
      </c>
      <c r="L53" s="28"/>
      <c r="M53" s="29"/>
      <c r="N53" s="29"/>
      <c r="O53" s="29"/>
      <c r="P53" s="28"/>
      <c r="Q53" s="30"/>
      <c r="R53" s="31"/>
      <c r="S53" s="31"/>
      <c r="T53" s="31"/>
      <c r="U53" s="30"/>
    </row>
    <row r="54" spans="1:21" s="25" customFormat="1" ht="15.6">
      <c r="A54" s="30">
        <v>5</v>
      </c>
      <c r="B54" s="469" t="s">
        <v>207</v>
      </c>
      <c r="C54" s="32">
        <f t="shared" si="2"/>
        <v>8760.1630000000005</v>
      </c>
      <c r="D54" s="33">
        <v>8760.1630000000005</v>
      </c>
      <c r="E54" s="28"/>
      <c r="F54" s="28"/>
      <c r="G54" s="28"/>
      <c r="H54" s="28"/>
      <c r="I54" s="28"/>
      <c r="J54" s="28"/>
      <c r="K54" s="29">
        <f t="shared" si="3"/>
        <v>0</v>
      </c>
      <c r="L54" s="28"/>
      <c r="M54" s="29"/>
      <c r="N54" s="29"/>
      <c r="O54" s="29"/>
      <c r="P54" s="28"/>
      <c r="Q54" s="30"/>
      <c r="R54" s="31"/>
      <c r="S54" s="31"/>
      <c r="T54" s="31"/>
      <c r="U54" s="30"/>
    </row>
    <row r="55" spans="1:21" s="25" customFormat="1" ht="15.6">
      <c r="A55" s="30">
        <v>6</v>
      </c>
      <c r="B55" s="469" t="s">
        <v>208</v>
      </c>
      <c r="C55" s="32">
        <f t="shared" si="2"/>
        <v>23031.627</v>
      </c>
      <c r="D55" s="33">
        <v>23031.627</v>
      </c>
      <c r="E55" s="28"/>
      <c r="F55" s="28"/>
      <c r="G55" s="28"/>
      <c r="H55" s="28"/>
      <c r="I55" s="28"/>
      <c r="J55" s="28"/>
      <c r="K55" s="29">
        <f t="shared" si="3"/>
        <v>0</v>
      </c>
      <c r="L55" s="28"/>
      <c r="M55" s="29"/>
      <c r="N55" s="29"/>
      <c r="O55" s="29"/>
      <c r="P55" s="28"/>
      <c r="Q55" s="30"/>
      <c r="R55" s="31"/>
      <c r="S55" s="31"/>
      <c r="T55" s="31"/>
      <c r="U55" s="30"/>
    </row>
    <row r="56" spans="1:21" s="25" customFormat="1" ht="15.6">
      <c r="A56" s="30">
        <v>7</v>
      </c>
      <c r="B56" s="469" t="s">
        <v>209</v>
      </c>
      <c r="C56" s="32">
        <f t="shared" si="2"/>
        <v>13344.388000000001</v>
      </c>
      <c r="D56" s="33">
        <v>13344.388000000001</v>
      </c>
      <c r="E56" s="28"/>
      <c r="F56" s="28"/>
      <c r="G56" s="28"/>
      <c r="H56" s="28"/>
      <c r="I56" s="28"/>
      <c r="J56" s="28"/>
      <c r="K56" s="29">
        <f t="shared" si="3"/>
        <v>0</v>
      </c>
      <c r="L56" s="28"/>
      <c r="M56" s="29"/>
      <c r="N56" s="29"/>
      <c r="O56" s="29"/>
      <c r="P56" s="28"/>
      <c r="Q56" s="30"/>
      <c r="R56" s="31"/>
      <c r="S56" s="31"/>
      <c r="T56" s="31"/>
      <c r="U56" s="30"/>
    </row>
    <row r="57" spans="1:21" s="25" customFormat="1" ht="15.6">
      <c r="A57" s="30">
        <v>8</v>
      </c>
      <c r="B57" s="469" t="s">
        <v>210</v>
      </c>
      <c r="C57" s="32">
        <f t="shared" si="2"/>
        <v>10289.800999999999</v>
      </c>
      <c r="D57" s="33">
        <v>10289.800999999999</v>
      </c>
      <c r="E57" s="28"/>
      <c r="F57" s="28"/>
      <c r="G57" s="28"/>
      <c r="H57" s="28"/>
      <c r="I57" s="28"/>
      <c r="J57" s="28"/>
      <c r="K57" s="29">
        <f t="shared" si="3"/>
        <v>0</v>
      </c>
      <c r="L57" s="28"/>
      <c r="M57" s="29"/>
      <c r="N57" s="29"/>
      <c r="O57" s="29"/>
      <c r="P57" s="28"/>
      <c r="Q57" s="30"/>
      <c r="R57" s="31"/>
      <c r="S57" s="31"/>
      <c r="T57" s="31"/>
      <c r="U57" s="30"/>
    </row>
    <row r="58" spans="1:21" s="25" customFormat="1" ht="15.6">
      <c r="A58" s="30">
        <v>9</v>
      </c>
      <c r="B58" s="469" t="s">
        <v>211</v>
      </c>
      <c r="C58" s="32">
        <f t="shared" si="2"/>
        <v>8407.5609999999997</v>
      </c>
      <c r="D58" s="33">
        <v>8407.5609999999997</v>
      </c>
      <c r="E58" s="28"/>
      <c r="F58" s="28"/>
      <c r="G58" s="28"/>
      <c r="H58" s="28"/>
      <c r="I58" s="28"/>
      <c r="J58" s="28"/>
      <c r="K58" s="29">
        <f t="shared" si="3"/>
        <v>0</v>
      </c>
      <c r="L58" s="28"/>
      <c r="M58" s="29"/>
      <c r="N58" s="29"/>
      <c r="O58" s="29"/>
      <c r="P58" s="28"/>
      <c r="Q58" s="30"/>
      <c r="R58" s="31"/>
      <c r="S58" s="31"/>
      <c r="T58" s="31"/>
      <c r="U58" s="30"/>
    </row>
    <row r="59" spans="1:21" s="25" customFormat="1" ht="15.6">
      <c r="A59" s="30">
        <v>10</v>
      </c>
      <c r="B59" s="469" t="s">
        <v>212</v>
      </c>
      <c r="C59" s="32">
        <f t="shared" si="2"/>
        <v>9183.4699999999993</v>
      </c>
      <c r="D59" s="33">
        <v>9183.4699999999993</v>
      </c>
      <c r="E59" s="28"/>
      <c r="F59" s="28"/>
      <c r="G59" s="28"/>
      <c r="H59" s="28"/>
      <c r="I59" s="28"/>
      <c r="J59" s="28"/>
      <c r="K59" s="29">
        <f t="shared" si="3"/>
        <v>0</v>
      </c>
      <c r="L59" s="28"/>
      <c r="M59" s="29"/>
      <c r="N59" s="29"/>
      <c r="O59" s="29"/>
      <c r="P59" s="28"/>
      <c r="Q59" s="30"/>
      <c r="R59" s="31"/>
      <c r="S59" s="31"/>
      <c r="T59" s="31"/>
      <c r="U59" s="30"/>
    </row>
    <row r="60" spans="1:21" s="25" customFormat="1" ht="15.6">
      <c r="A60" s="30">
        <v>11</v>
      </c>
      <c r="B60" s="469" t="s">
        <v>213</v>
      </c>
      <c r="C60" s="32">
        <f t="shared" si="2"/>
        <v>20209.508999999998</v>
      </c>
      <c r="D60" s="33">
        <v>20209.508999999998</v>
      </c>
      <c r="E60" s="28"/>
      <c r="F60" s="28"/>
      <c r="G60" s="28"/>
      <c r="H60" s="28"/>
      <c r="I60" s="28"/>
      <c r="J60" s="28"/>
      <c r="K60" s="29">
        <f t="shared" si="3"/>
        <v>0</v>
      </c>
      <c r="L60" s="28"/>
      <c r="M60" s="29"/>
      <c r="N60" s="29"/>
      <c r="O60" s="29"/>
      <c r="P60" s="28"/>
      <c r="Q60" s="30"/>
      <c r="R60" s="31"/>
      <c r="S60" s="31"/>
      <c r="T60" s="31"/>
      <c r="U60" s="30"/>
    </row>
    <row r="61" spans="1:21" s="25" customFormat="1" ht="15.6">
      <c r="A61" s="30">
        <v>12</v>
      </c>
      <c r="B61" s="469" t="s">
        <v>214</v>
      </c>
      <c r="C61" s="32">
        <f t="shared" si="2"/>
        <v>10506.611999999999</v>
      </c>
      <c r="D61" s="33">
        <v>10506.611999999999</v>
      </c>
      <c r="E61" s="28"/>
      <c r="F61" s="28"/>
      <c r="G61" s="28"/>
      <c r="H61" s="28"/>
      <c r="I61" s="28"/>
      <c r="J61" s="28"/>
      <c r="K61" s="29">
        <f t="shared" si="3"/>
        <v>0</v>
      </c>
      <c r="L61" s="28"/>
      <c r="M61" s="29"/>
      <c r="N61" s="29"/>
      <c r="O61" s="29"/>
      <c r="P61" s="28"/>
      <c r="Q61" s="30"/>
      <c r="R61" s="31"/>
      <c r="S61" s="31"/>
      <c r="T61" s="31"/>
      <c r="U61" s="30"/>
    </row>
    <row r="62" spans="1:21" s="25" customFormat="1" ht="15.6">
      <c r="A62" s="30">
        <v>13</v>
      </c>
      <c r="B62" s="469" t="s">
        <v>215</v>
      </c>
      <c r="C62" s="32">
        <f t="shared" si="2"/>
        <v>8153.7730000000001</v>
      </c>
      <c r="D62" s="33">
        <v>8153.7730000000001</v>
      </c>
      <c r="E62" s="28"/>
      <c r="F62" s="28"/>
      <c r="G62" s="28"/>
      <c r="H62" s="28"/>
      <c r="I62" s="28"/>
      <c r="J62" s="28"/>
      <c r="K62" s="29">
        <f t="shared" si="3"/>
        <v>0</v>
      </c>
      <c r="L62" s="28"/>
      <c r="M62" s="29"/>
      <c r="N62" s="29"/>
      <c r="O62" s="29"/>
      <c r="P62" s="28"/>
      <c r="Q62" s="30"/>
      <c r="R62" s="31"/>
      <c r="S62" s="31"/>
      <c r="T62" s="31"/>
      <c r="U62" s="30"/>
    </row>
    <row r="63" spans="1:21" s="25" customFormat="1" ht="15.6">
      <c r="A63" s="30">
        <v>14</v>
      </c>
      <c r="B63" s="469" t="s">
        <v>216</v>
      </c>
      <c r="C63" s="32">
        <f t="shared" si="2"/>
        <v>20956.931</v>
      </c>
      <c r="D63" s="33">
        <v>20956.931</v>
      </c>
      <c r="E63" s="28"/>
      <c r="F63" s="28"/>
      <c r="G63" s="28"/>
      <c r="H63" s="28"/>
      <c r="I63" s="28"/>
      <c r="J63" s="28"/>
      <c r="K63" s="29">
        <f t="shared" si="3"/>
        <v>0</v>
      </c>
      <c r="L63" s="28"/>
      <c r="M63" s="29"/>
      <c r="N63" s="29"/>
      <c r="O63" s="29"/>
      <c r="P63" s="28"/>
      <c r="Q63" s="30"/>
      <c r="R63" s="31"/>
      <c r="S63" s="31"/>
      <c r="T63" s="31"/>
      <c r="U63" s="30"/>
    </row>
    <row r="64" spans="1:21" s="25" customFormat="1" ht="15.6">
      <c r="A64" s="30">
        <v>15</v>
      </c>
      <c r="B64" s="469" t="s">
        <v>217</v>
      </c>
      <c r="C64" s="32">
        <f t="shared" si="2"/>
        <v>5199.67</v>
      </c>
      <c r="D64" s="33">
        <v>5199.67</v>
      </c>
      <c r="E64" s="28"/>
      <c r="F64" s="28"/>
      <c r="G64" s="28"/>
      <c r="H64" s="28"/>
      <c r="I64" s="28"/>
      <c r="J64" s="28"/>
      <c r="K64" s="29">
        <f t="shared" si="3"/>
        <v>0</v>
      </c>
      <c r="L64" s="28"/>
      <c r="M64" s="29"/>
      <c r="N64" s="29"/>
      <c r="O64" s="29"/>
      <c r="P64" s="28"/>
      <c r="Q64" s="30"/>
      <c r="R64" s="31"/>
      <c r="S64" s="31"/>
      <c r="T64" s="31"/>
      <c r="U64" s="30"/>
    </row>
    <row r="65" spans="1:21" s="25" customFormat="1" ht="15.6">
      <c r="A65" s="30">
        <v>16</v>
      </c>
      <c r="B65" s="469" t="s">
        <v>218</v>
      </c>
      <c r="C65" s="32">
        <f t="shared" si="2"/>
        <v>5737.4889999999996</v>
      </c>
      <c r="D65" s="33">
        <v>5737.4889999999996</v>
      </c>
      <c r="E65" s="28"/>
      <c r="F65" s="28"/>
      <c r="G65" s="28"/>
      <c r="H65" s="28"/>
      <c r="I65" s="28"/>
      <c r="J65" s="28"/>
      <c r="K65" s="29">
        <f t="shared" si="3"/>
        <v>0</v>
      </c>
      <c r="L65" s="28"/>
      <c r="M65" s="29"/>
      <c r="N65" s="29"/>
      <c r="O65" s="29"/>
      <c r="P65" s="28"/>
      <c r="Q65" s="30"/>
      <c r="R65" s="31"/>
      <c r="S65" s="31"/>
      <c r="T65" s="31"/>
      <c r="U65" s="30"/>
    </row>
    <row r="66" spans="1:21" s="25" customFormat="1" ht="15.6">
      <c r="A66" s="30">
        <v>17</v>
      </c>
      <c r="B66" s="469" t="s">
        <v>219</v>
      </c>
      <c r="C66" s="32">
        <f t="shared" si="2"/>
        <v>11831.575000000001</v>
      </c>
      <c r="D66" s="33">
        <v>11831.575000000001</v>
      </c>
      <c r="E66" s="28"/>
      <c r="F66" s="28"/>
      <c r="G66" s="28"/>
      <c r="H66" s="28"/>
      <c r="I66" s="28"/>
      <c r="J66" s="28"/>
      <c r="K66" s="29">
        <f t="shared" si="3"/>
        <v>0</v>
      </c>
      <c r="L66" s="28"/>
      <c r="M66" s="29"/>
      <c r="N66" s="29"/>
      <c r="O66" s="29"/>
      <c r="P66" s="28"/>
      <c r="Q66" s="30"/>
      <c r="R66" s="31"/>
      <c r="S66" s="31"/>
      <c r="T66" s="31"/>
      <c r="U66" s="30"/>
    </row>
    <row r="67" spans="1:21" s="25" customFormat="1" ht="15.6">
      <c r="A67" s="30">
        <v>18</v>
      </c>
      <c r="B67" s="469" t="s">
        <v>220</v>
      </c>
      <c r="C67" s="32">
        <f t="shared" si="2"/>
        <v>10740.12</v>
      </c>
      <c r="D67" s="33">
        <v>10740.12</v>
      </c>
      <c r="E67" s="28"/>
      <c r="F67" s="28"/>
      <c r="G67" s="28"/>
      <c r="H67" s="28"/>
      <c r="I67" s="28"/>
      <c r="J67" s="28"/>
      <c r="K67" s="29">
        <f t="shared" si="3"/>
        <v>0</v>
      </c>
      <c r="L67" s="28"/>
      <c r="M67" s="29"/>
      <c r="N67" s="29"/>
      <c r="O67" s="29"/>
      <c r="P67" s="28"/>
      <c r="Q67" s="30"/>
      <c r="R67" s="31"/>
      <c r="S67" s="31"/>
      <c r="T67" s="31"/>
      <c r="U67" s="30"/>
    </row>
    <row r="68" spans="1:21" s="25" customFormat="1" ht="15.6">
      <c r="A68" s="30">
        <v>19</v>
      </c>
      <c r="B68" s="469" t="s">
        <v>221</v>
      </c>
      <c r="C68" s="32">
        <f t="shared" si="2"/>
        <v>9413.8029999999999</v>
      </c>
      <c r="D68" s="33">
        <v>9413.8029999999999</v>
      </c>
      <c r="E68" s="28"/>
      <c r="F68" s="28"/>
      <c r="G68" s="28"/>
      <c r="H68" s="28"/>
      <c r="I68" s="28"/>
      <c r="J68" s="28"/>
      <c r="K68" s="29">
        <f t="shared" si="3"/>
        <v>0</v>
      </c>
      <c r="L68" s="28"/>
      <c r="M68" s="29"/>
      <c r="N68" s="29"/>
      <c r="O68" s="29"/>
      <c r="P68" s="28"/>
      <c r="Q68" s="30"/>
      <c r="R68" s="31"/>
      <c r="S68" s="31"/>
      <c r="T68" s="31"/>
      <c r="U68" s="30"/>
    </row>
    <row r="69" spans="1:21" s="25" customFormat="1" ht="15.6">
      <c r="A69" s="30">
        <v>20</v>
      </c>
      <c r="B69" s="469" t="s">
        <v>222</v>
      </c>
      <c r="C69" s="32">
        <f t="shared" si="2"/>
        <v>9096.8109999999997</v>
      </c>
      <c r="D69" s="33">
        <v>9096.8109999999997</v>
      </c>
      <c r="E69" s="28"/>
      <c r="F69" s="28"/>
      <c r="G69" s="28"/>
      <c r="H69" s="28"/>
      <c r="I69" s="28"/>
      <c r="J69" s="28"/>
      <c r="K69" s="29">
        <f t="shared" si="3"/>
        <v>0</v>
      </c>
      <c r="L69" s="28"/>
      <c r="M69" s="29"/>
      <c r="N69" s="29"/>
      <c r="O69" s="29"/>
      <c r="P69" s="28"/>
      <c r="Q69" s="30"/>
      <c r="R69" s="31"/>
      <c r="S69" s="31"/>
      <c r="T69" s="31"/>
      <c r="U69" s="30"/>
    </row>
    <row r="70" spans="1:21" s="25" customFormat="1" ht="15.6">
      <c r="A70" s="30">
        <v>21</v>
      </c>
      <c r="B70" s="469" t="s">
        <v>223</v>
      </c>
      <c r="C70" s="32">
        <f t="shared" si="2"/>
        <v>12777.535</v>
      </c>
      <c r="D70" s="33">
        <v>12777.535</v>
      </c>
      <c r="E70" s="28"/>
      <c r="F70" s="28"/>
      <c r="G70" s="28"/>
      <c r="H70" s="28"/>
      <c r="I70" s="28"/>
      <c r="J70" s="28"/>
      <c r="K70" s="29">
        <f t="shared" si="3"/>
        <v>0</v>
      </c>
      <c r="L70" s="28"/>
      <c r="M70" s="29"/>
      <c r="N70" s="29"/>
      <c r="O70" s="29"/>
      <c r="P70" s="28"/>
      <c r="Q70" s="30"/>
      <c r="R70" s="31"/>
      <c r="S70" s="31"/>
      <c r="T70" s="31"/>
      <c r="U70" s="30"/>
    </row>
    <row r="71" spans="1:21" s="25" customFormat="1" ht="15.6">
      <c r="A71" s="30">
        <v>22</v>
      </c>
      <c r="B71" s="469" t="s">
        <v>224</v>
      </c>
      <c r="C71" s="32">
        <f t="shared" si="2"/>
        <v>17722.878000000001</v>
      </c>
      <c r="D71" s="33">
        <v>17722.878000000001</v>
      </c>
      <c r="E71" s="28"/>
      <c r="F71" s="28"/>
      <c r="G71" s="28"/>
      <c r="H71" s="28"/>
      <c r="I71" s="28"/>
      <c r="J71" s="28"/>
      <c r="K71" s="29">
        <f t="shared" si="3"/>
        <v>0</v>
      </c>
      <c r="L71" s="28"/>
      <c r="M71" s="29"/>
      <c r="N71" s="29"/>
      <c r="O71" s="29"/>
      <c r="P71" s="28"/>
      <c r="Q71" s="30"/>
      <c r="R71" s="31"/>
      <c r="S71" s="31"/>
      <c r="T71" s="31"/>
      <c r="U71" s="30"/>
    </row>
    <row r="72" spans="1:21" s="25" customFormat="1" ht="15.6">
      <c r="A72" s="30">
        <v>23</v>
      </c>
      <c r="B72" s="469" t="s">
        <v>225</v>
      </c>
      <c r="C72" s="32">
        <f t="shared" si="2"/>
        <v>7018.9650000000001</v>
      </c>
      <c r="D72" s="33">
        <v>7018.9650000000001</v>
      </c>
      <c r="E72" s="28"/>
      <c r="F72" s="28"/>
      <c r="G72" s="28"/>
      <c r="H72" s="28"/>
      <c r="I72" s="28"/>
      <c r="J72" s="28"/>
      <c r="K72" s="29">
        <f t="shared" si="3"/>
        <v>0</v>
      </c>
      <c r="L72" s="28"/>
      <c r="M72" s="29"/>
      <c r="N72" s="29"/>
      <c r="O72" s="29"/>
      <c r="P72" s="28"/>
      <c r="Q72" s="30"/>
      <c r="R72" s="31"/>
      <c r="S72" s="31"/>
      <c r="T72" s="31"/>
      <c r="U72" s="30"/>
    </row>
    <row r="73" spans="1:21" s="25" customFormat="1" ht="15.6">
      <c r="A73" s="30">
        <v>24</v>
      </c>
      <c r="B73" s="469" t="s">
        <v>226</v>
      </c>
      <c r="C73" s="32">
        <f t="shared" si="2"/>
        <v>7318.7240000000002</v>
      </c>
      <c r="D73" s="33">
        <v>7318.7240000000002</v>
      </c>
      <c r="E73" s="28"/>
      <c r="F73" s="28"/>
      <c r="G73" s="28"/>
      <c r="H73" s="28"/>
      <c r="I73" s="28"/>
      <c r="J73" s="28"/>
      <c r="K73" s="29">
        <f t="shared" si="3"/>
        <v>0</v>
      </c>
      <c r="L73" s="28"/>
      <c r="M73" s="29"/>
      <c r="N73" s="29"/>
      <c r="O73" s="29"/>
      <c r="P73" s="28"/>
      <c r="Q73" s="30"/>
      <c r="R73" s="31"/>
      <c r="S73" s="31"/>
      <c r="T73" s="31"/>
      <c r="U73" s="30"/>
    </row>
    <row r="74" spans="1:21" s="25" customFormat="1" ht="15.6">
      <c r="A74" s="30">
        <v>25</v>
      </c>
      <c r="B74" s="469" t="s">
        <v>227</v>
      </c>
      <c r="C74" s="32">
        <f t="shared" si="2"/>
        <v>14111.254999999999</v>
      </c>
      <c r="D74" s="33">
        <v>14111.254999999999</v>
      </c>
      <c r="E74" s="28"/>
      <c r="F74" s="28"/>
      <c r="G74" s="28"/>
      <c r="H74" s="28"/>
      <c r="I74" s="28"/>
      <c r="J74" s="28"/>
      <c r="K74" s="29">
        <f t="shared" si="3"/>
        <v>0</v>
      </c>
      <c r="L74" s="28"/>
      <c r="M74" s="29"/>
      <c r="N74" s="29"/>
      <c r="O74" s="29"/>
      <c r="P74" s="28"/>
      <c r="Q74" s="30"/>
      <c r="R74" s="31"/>
      <c r="S74" s="31"/>
      <c r="T74" s="31"/>
      <c r="U74" s="30"/>
    </row>
    <row r="75" spans="1:21" s="25" customFormat="1" ht="15.6">
      <c r="A75" s="30">
        <v>26</v>
      </c>
      <c r="B75" s="469" t="s">
        <v>228</v>
      </c>
      <c r="C75" s="32">
        <f t="shared" si="2"/>
        <v>6190.933</v>
      </c>
      <c r="D75" s="33">
        <v>6190.933</v>
      </c>
      <c r="E75" s="28"/>
      <c r="F75" s="28"/>
      <c r="G75" s="28"/>
      <c r="H75" s="28"/>
      <c r="I75" s="28"/>
      <c r="J75" s="28"/>
      <c r="K75" s="29">
        <f t="shared" si="3"/>
        <v>0</v>
      </c>
      <c r="L75" s="28"/>
      <c r="M75" s="29"/>
      <c r="N75" s="29"/>
      <c r="O75" s="29"/>
      <c r="P75" s="28"/>
      <c r="Q75" s="30"/>
      <c r="R75" s="31"/>
      <c r="S75" s="31"/>
      <c r="T75" s="31"/>
      <c r="U75" s="30"/>
    </row>
    <row r="76" spans="1:21" s="25" customFormat="1" ht="15.6">
      <c r="A76" s="30">
        <v>27</v>
      </c>
      <c r="B76" s="469" t="s">
        <v>229</v>
      </c>
      <c r="C76" s="32">
        <f t="shared" si="2"/>
        <v>9256.9269999999997</v>
      </c>
      <c r="D76" s="33">
        <v>9256.9269999999997</v>
      </c>
      <c r="E76" s="28"/>
      <c r="F76" s="28"/>
      <c r="G76" s="28"/>
      <c r="H76" s="28"/>
      <c r="I76" s="28"/>
      <c r="J76" s="28"/>
      <c r="K76" s="29">
        <f t="shared" si="3"/>
        <v>0</v>
      </c>
      <c r="L76" s="28"/>
      <c r="M76" s="29"/>
      <c r="N76" s="29"/>
      <c r="O76" s="29"/>
      <c r="P76" s="28"/>
      <c r="Q76" s="30"/>
      <c r="R76" s="31"/>
      <c r="S76" s="31"/>
      <c r="T76" s="31"/>
      <c r="U76" s="30"/>
    </row>
    <row r="77" spans="1:21" s="25" customFormat="1" ht="15.6">
      <c r="A77" s="30">
        <v>28</v>
      </c>
      <c r="B77" s="469" t="s">
        <v>230</v>
      </c>
      <c r="C77" s="32">
        <f t="shared" si="2"/>
        <v>7579.326</v>
      </c>
      <c r="D77" s="33">
        <v>7579.326</v>
      </c>
      <c r="E77" s="28"/>
      <c r="F77" s="28"/>
      <c r="G77" s="28"/>
      <c r="H77" s="28"/>
      <c r="I77" s="28"/>
      <c r="J77" s="28"/>
      <c r="K77" s="29">
        <f t="shared" si="3"/>
        <v>0</v>
      </c>
      <c r="L77" s="28"/>
      <c r="M77" s="29"/>
      <c r="N77" s="29"/>
      <c r="O77" s="29"/>
      <c r="P77" s="28"/>
      <c r="Q77" s="30"/>
      <c r="R77" s="31"/>
      <c r="S77" s="31"/>
      <c r="T77" s="31"/>
      <c r="U77" s="30"/>
    </row>
    <row r="78" spans="1:21" s="25" customFormat="1" ht="15.6">
      <c r="A78" s="30">
        <v>29</v>
      </c>
      <c r="B78" s="469" t="s">
        <v>395</v>
      </c>
      <c r="C78" s="32">
        <f t="shared" si="2"/>
        <v>9261.2039999999997</v>
      </c>
      <c r="D78" s="33">
        <v>9261.2039999999997</v>
      </c>
      <c r="E78" s="28"/>
      <c r="F78" s="28"/>
      <c r="G78" s="28"/>
      <c r="H78" s="28"/>
      <c r="I78" s="28"/>
      <c r="J78" s="28"/>
      <c r="K78" s="29">
        <f t="shared" si="3"/>
        <v>0</v>
      </c>
      <c r="L78" s="28"/>
      <c r="M78" s="29"/>
      <c r="N78" s="29"/>
      <c r="O78" s="29"/>
      <c r="P78" s="28"/>
      <c r="Q78" s="30"/>
      <c r="R78" s="31"/>
      <c r="S78" s="31"/>
      <c r="T78" s="31"/>
      <c r="U78" s="30"/>
    </row>
    <row r="79" spans="1:21" s="25" customFormat="1" ht="15.6">
      <c r="A79" s="30">
        <v>30</v>
      </c>
      <c r="B79" s="469" t="s">
        <v>231</v>
      </c>
      <c r="C79" s="32">
        <f t="shared" si="2"/>
        <v>10451.343000000001</v>
      </c>
      <c r="D79" s="33">
        <v>10451.343000000001</v>
      </c>
      <c r="E79" s="28"/>
      <c r="F79" s="28"/>
      <c r="G79" s="28"/>
      <c r="H79" s="28"/>
      <c r="I79" s="28"/>
      <c r="J79" s="28"/>
      <c r="K79" s="29">
        <f t="shared" si="3"/>
        <v>0</v>
      </c>
      <c r="L79" s="28"/>
      <c r="M79" s="29"/>
      <c r="N79" s="29"/>
      <c r="O79" s="29"/>
      <c r="P79" s="28"/>
      <c r="Q79" s="30"/>
      <c r="R79" s="31"/>
      <c r="S79" s="31"/>
      <c r="T79" s="31"/>
      <c r="U79" s="30"/>
    </row>
    <row r="80" spans="1:21" s="25" customFormat="1" ht="15.6">
      <c r="A80" s="30">
        <v>31</v>
      </c>
      <c r="B80" s="469" t="s">
        <v>232</v>
      </c>
      <c r="C80" s="32">
        <f t="shared" si="2"/>
        <v>17227.952000000001</v>
      </c>
      <c r="D80" s="33">
        <v>17227.952000000001</v>
      </c>
      <c r="E80" s="28"/>
      <c r="F80" s="28"/>
      <c r="G80" s="28"/>
      <c r="H80" s="28"/>
      <c r="I80" s="28"/>
      <c r="J80" s="28"/>
      <c r="K80" s="29">
        <f t="shared" si="3"/>
        <v>0</v>
      </c>
      <c r="L80" s="28"/>
      <c r="M80" s="29"/>
      <c r="N80" s="29"/>
      <c r="O80" s="29"/>
      <c r="P80" s="28"/>
      <c r="Q80" s="30"/>
      <c r="R80" s="31"/>
      <c r="S80" s="31"/>
      <c r="T80" s="31"/>
      <c r="U80" s="30"/>
    </row>
    <row r="81" spans="1:21" s="25" customFormat="1" ht="15.6">
      <c r="A81" s="30">
        <v>32</v>
      </c>
      <c r="B81" s="469" t="s">
        <v>233</v>
      </c>
      <c r="C81" s="32">
        <f t="shared" si="2"/>
        <v>7136.5150000000003</v>
      </c>
      <c r="D81" s="33">
        <v>7136.5150000000003</v>
      </c>
      <c r="E81" s="28"/>
      <c r="F81" s="28"/>
      <c r="G81" s="28"/>
      <c r="H81" s="28"/>
      <c r="I81" s="28"/>
      <c r="J81" s="28"/>
      <c r="K81" s="29">
        <f t="shared" si="3"/>
        <v>0</v>
      </c>
      <c r="L81" s="28"/>
      <c r="M81" s="29"/>
      <c r="N81" s="29"/>
      <c r="O81" s="29"/>
      <c r="P81" s="28"/>
      <c r="Q81" s="30"/>
      <c r="R81" s="31"/>
      <c r="S81" s="31"/>
      <c r="T81" s="31"/>
      <c r="U81" s="30"/>
    </row>
    <row r="82" spans="1:21" s="25" customFormat="1" ht="15.6">
      <c r="A82" s="30">
        <v>33</v>
      </c>
      <c r="B82" s="469" t="s">
        <v>234</v>
      </c>
      <c r="C82" s="32">
        <f t="shared" ref="C82:C146" si="5">SUM(D82:K82)+SUM(Q82:T82)</f>
        <v>5984.31</v>
      </c>
      <c r="D82" s="33">
        <v>5984.31</v>
      </c>
      <c r="E82" s="28"/>
      <c r="F82" s="28"/>
      <c r="G82" s="28"/>
      <c r="H82" s="28"/>
      <c r="I82" s="28"/>
      <c r="J82" s="28"/>
      <c r="K82" s="29">
        <f t="shared" ref="K82:K140" si="6">SUM(L82:P82)</f>
        <v>0</v>
      </c>
      <c r="L82" s="28"/>
      <c r="M82" s="29"/>
      <c r="N82" s="29"/>
      <c r="O82" s="29"/>
      <c r="P82" s="28"/>
      <c r="Q82" s="30"/>
      <c r="R82" s="31"/>
      <c r="S82" s="31"/>
      <c r="T82" s="31"/>
      <c r="U82" s="30"/>
    </row>
    <row r="83" spans="1:21" s="25" customFormat="1" ht="15.6">
      <c r="A83" s="30">
        <v>34</v>
      </c>
      <c r="B83" s="469" t="s">
        <v>235</v>
      </c>
      <c r="C83" s="32">
        <f t="shared" si="5"/>
        <v>18259.75</v>
      </c>
      <c r="D83" s="33">
        <v>18259.75</v>
      </c>
      <c r="E83" s="28"/>
      <c r="F83" s="28"/>
      <c r="G83" s="28"/>
      <c r="H83" s="28"/>
      <c r="I83" s="28"/>
      <c r="J83" s="28"/>
      <c r="K83" s="29">
        <f t="shared" si="6"/>
        <v>0</v>
      </c>
      <c r="L83" s="28"/>
      <c r="M83" s="29"/>
      <c r="N83" s="29"/>
      <c r="O83" s="29"/>
      <c r="P83" s="28"/>
      <c r="Q83" s="30"/>
      <c r="R83" s="31"/>
      <c r="S83" s="31"/>
      <c r="T83" s="31"/>
      <c r="U83" s="30"/>
    </row>
    <row r="84" spans="1:21" s="25" customFormat="1" ht="15.6">
      <c r="A84" s="30">
        <v>35</v>
      </c>
      <c r="B84" s="469" t="s">
        <v>236</v>
      </c>
      <c r="C84" s="32">
        <f t="shared" si="5"/>
        <v>9861.7119999999995</v>
      </c>
      <c r="D84" s="33">
        <v>9861.7119999999995</v>
      </c>
      <c r="E84" s="28"/>
      <c r="F84" s="28"/>
      <c r="G84" s="28"/>
      <c r="H84" s="28"/>
      <c r="I84" s="28"/>
      <c r="J84" s="28"/>
      <c r="K84" s="29">
        <f t="shared" si="6"/>
        <v>0</v>
      </c>
      <c r="L84" s="28"/>
      <c r="M84" s="29"/>
      <c r="N84" s="29"/>
      <c r="O84" s="29"/>
      <c r="P84" s="28"/>
      <c r="Q84" s="30"/>
      <c r="R84" s="31"/>
      <c r="S84" s="31"/>
      <c r="T84" s="31"/>
      <c r="U84" s="30"/>
    </row>
    <row r="85" spans="1:21" s="25" customFormat="1" ht="15.6">
      <c r="A85" s="30">
        <v>36</v>
      </c>
      <c r="B85" s="469" t="s">
        <v>396</v>
      </c>
      <c r="C85" s="32">
        <f t="shared" si="5"/>
        <v>7683.91</v>
      </c>
      <c r="D85" s="33">
        <v>7683.91</v>
      </c>
      <c r="E85" s="28"/>
      <c r="F85" s="28"/>
      <c r="G85" s="28"/>
      <c r="H85" s="28"/>
      <c r="I85" s="28"/>
      <c r="J85" s="28"/>
      <c r="K85" s="29">
        <f t="shared" si="6"/>
        <v>0</v>
      </c>
      <c r="L85" s="28"/>
      <c r="M85" s="29"/>
      <c r="N85" s="29"/>
      <c r="O85" s="29"/>
      <c r="P85" s="28"/>
      <c r="Q85" s="30"/>
      <c r="R85" s="31"/>
      <c r="S85" s="31"/>
      <c r="T85" s="31"/>
      <c r="U85" s="30"/>
    </row>
    <row r="86" spans="1:21" s="25" customFormat="1" ht="15.6">
      <c r="A86" s="30">
        <v>37</v>
      </c>
      <c r="B86" s="469" t="s">
        <v>237</v>
      </c>
      <c r="C86" s="32">
        <f t="shared" si="5"/>
        <v>12871.681</v>
      </c>
      <c r="D86" s="33">
        <v>12871.681</v>
      </c>
      <c r="E86" s="28"/>
      <c r="F86" s="28"/>
      <c r="G86" s="28"/>
      <c r="H86" s="28"/>
      <c r="I86" s="28"/>
      <c r="J86" s="28"/>
      <c r="K86" s="29">
        <f t="shared" si="6"/>
        <v>0</v>
      </c>
      <c r="L86" s="28"/>
      <c r="M86" s="29"/>
      <c r="N86" s="29"/>
      <c r="O86" s="29"/>
      <c r="P86" s="28"/>
      <c r="Q86" s="30"/>
      <c r="R86" s="31"/>
      <c r="S86" s="31"/>
      <c r="T86" s="31"/>
      <c r="U86" s="30"/>
    </row>
    <row r="87" spans="1:21" s="25" customFormat="1" ht="15.6">
      <c r="A87" s="30">
        <v>38</v>
      </c>
      <c r="B87" s="469" t="s">
        <v>238</v>
      </c>
      <c r="C87" s="32">
        <f t="shared" si="5"/>
        <v>6741.0209999999997</v>
      </c>
      <c r="D87" s="33">
        <v>6741.0209999999997</v>
      </c>
      <c r="E87" s="28"/>
      <c r="F87" s="28"/>
      <c r="G87" s="28"/>
      <c r="H87" s="28"/>
      <c r="I87" s="28"/>
      <c r="J87" s="28"/>
      <c r="K87" s="29">
        <f t="shared" si="6"/>
        <v>0</v>
      </c>
      <c r="L87" s="28"/>
      <c r="M87" s="29"/>
      <c r="N87" s="29"/>
      <c r="O87" s="29"/>
      <c r="P87" s="28"/>
      <c r="Q87" s="30"/>
      <c r="R87" s="31"/>
      <c r="S87" s="31"/>
      <c r="T87" s="31"/>
      <c r="U87" s="30"/>
    </row>
    <row r="88" spans="1:21" s="25" customFormat="1" ht="15.6">
      <c r="A88" s="30">
        <v>39</v>
      </c>
      <c r="B88" s="469" t="s">
        <v>239</v>
      </c>
      <c r="C88" s="32">
        <f t="shared" si="5"/>
        <v>8122.5680000000002</v>
      </c>
      <c r="D88" s="33">
        <v>8122.5680000000002</v>
      </c>
      <c r="E88" s="28"/>
      <c r="F88" s="28"/>
      <c r="G88" s="28"/>
      <c r="H88" s="28"/>
      <c r="I88" s="28"/>
      <c r="J88" s="28"/>
      <c r="K88" s="29">
        <f t="shared" si="6"/>
        <v>0</v>
      </c>
      <c r="L88" s="28"/>
      <c r="M88" s="29"/>
      <c r="N88" s="29"/>
      <c r="O88" s="29"/>
      <c r="P88" s="28"/>
      <c r="Q88" s="30"/>
      <c r="R88" s="31"/>
      <c r="S88" s="31"/>
      <c r="T88" s="31"/>
      <c r="U88" s="30"/>
    </row>
    <row r="89" spans="1:21" s="25" customFormat="1" ht="15.6">
      <c r="A89" s="30">
        <v>40</v>
      </c>
      <c r="B89" s="469" t="s">
        <v>240</v>
      </c>
      <c r="C89" s="32">
        <f t="shared" si="5"/>
        <v>7061.4880000000003</v>
      </c>
      <c r="D89" s="33">
        <v>7061.4880000000003</v>
      </c>
      <c r="E89" s="28"/>
      <c r="F89" s="28"/>
      <c r="G89" s="28"/>
      <c r="H89" s="28"/>
      <c r="I89" s="28"/>
      <c r="J89" s="28"/>
      <c r="K89" s="29">
        <f t="shared" si="6"/>
        <v>0</v>
      </c>
      <c r="L89" s="28"/>
      <c r="M89" s="29"/>
      <c r="N89" s="29"/>
      <c r="O89" s="29"/>
      <c r="P89" s="28"/>
      <c r="Q89" s="30"/>
      <c r="R89" s="31"/>
      <c r="S89" s="31"/>
      <c r="T89" s="31"/>
      <c r="U89" s="30"/>
    </row>
    <row r="90" spans="1:21" s="25" customFormat="1" ht="15.6">
      <c r="A90" s="30">
        <v>41</v>
      </c>
      <c r="B90" s="469" t="s">
        <v>241</v>
      </c>
      <c r="C90" s="32">
        <f t="shared" si="5"/>
        <v>7484.1610000000001</v>
      </c>
      <c r="D90" s="33">
        <v>7484.1610000000001</v>
      </c>
      <c r="E90" s="28"/>
      <c r="F90" s="28"/>
      <c r="G90" s="28"/>
      <c r="H90" s="28"/>
      <c r="I90" s="28"/>
      <c r="J90" s="28"/>
      <c r="K90" s="29">
        <f t="shared" si="6"/>
        <v>0</v>
      </c>
      <c r="L90" s="28"/>
      <c r="M90" s="29"/>
      <c r="N90" s="29"/>
      <c r="O90" s="29"/>
      <c r="P90" s="28"/>
      <c r="Q90" s="30"/>
      <c r="R90" s="31"/>
      <c r="S90" s="31"/>
      <c r="T90" s="31"/>
      <c r="U90" s="30"/>
    </row>
    <row r="91" spans="1:21" s="25" customFormat="1" ht="15.6">
      <c r="A91" s="30">
        <v>42</v>
      </c>
      <c r="B91" s="469" t="s">
        <v>242</v>
      </c>
      <c r="C91" s="32">
        <f t="shared" si="5"/>
        <v>7744.3</v>
      </c>
      <c r="D91" s="33">
        <v>7744.3</v>
      </c>
      <c r="E91" s="28"/>
      <c r="F91" s="28"/>
      <c r="G91" s="28"/>
      <c r="H91" s="28"/>
      <c r="I91" s="28"/>
      <c r="J91" s="28"/>
      <c r="K91" s="29">
        <f t="shared" si="6"/>
        <v>0</v>
      </c>
      <c r="L91" s="28"/>
      <c r="M91" s="29"/>
      <c r="N91" s="29"/>
      <c r="O91" s="29"/>
      <c r="P91" s="28"/>
      <c r="Q91" s="30"/>
      <c r="R91" s="31"/>
      <c r="S91" s="31"/>
      <c r="T91" s="31"/>
      <c r="U91" s="30"/>
    </row>
    <row r="92" spans="1:21" s="25" customFormat="1" ht="15.6">
      <c r="A92" s="30">
        <v>43</v>
      </c>
      <c r="B92" s="469" t="s">
        <v>243</v>
      </c>
      <c r="C92" s="32">
        <f t="shared" si="5"/>
        <v>15615.484</v>
      </c>
      <c r="D92" s="33">
        <v>15615.484</v>
      </c>
      <c r="E92" s="28"/>
      <c r="F92" s="28"/>
      <c r="G92" s="28"/>
      <c r="H92" s="28"/>
      <c r="I92" s="28"/>
      <c r="J92" s="28"/>
      <c r="K92" s="29">
        <f t="shared" si="6"/>
        <v>0</v>
      </c>
      <c r="L92" s="28"/>
      <c r="M92" s="29"/>
      <c r="N92" s="29"/>
      <c r="O92" s="29"/>
      <c r="P92" s="28"/>
      <c r="Q92" s="30"/>
      <c r="R92" s="31"/>
      <c r="S92" s="31"/>
      <c r="T92" s="31"/>
      <c r="U92" s="30"/>
    </row>
    <row r="93" spans="1:21" s="25" customFormat="1" ht="15.6">
      <c r="A93" s="30">
        <v>44</v>
      </c>
      <c r="B93" s="469" t="s">
        <v>244</v>
      </c>
      <c r="C93" s="32">
        <f t="shared" si="5"/>
        <v>20688.224999999999</v>
      </c>
      <c r="D93" s="33">
        <v>20688.224999999999</v>
      </c>
      <c r="E93" s="28"/>
      <c r="F93" s="28"/>
      <c r="G93" s="28"/>
      <c r="H93" s="28"/>
      <c r="I93" s="28"/>
      <c r="J93" s="28"/>
      <c r="K93" s="29">
        <f t="shared" si="6"/>
        <v>0</v>
      </c>
      <c r="L93" s="28"/>
      <c r="M93" s="29"/>
      <c r="N93" s="29"/>
      <c r="O93" s="29"/>
      <c r="P93" s="28"/>
      <c r="Q93" s="30"/>
      <c r="R93" s="31"/>
      <c r="S93" s="31"/>
      <c r="T93" s="31"/>
      <c r="U93" s="30"/>
    </row>
    <row r="94" spans="1:21" s="25" customFormat="1" ht="15.6">
      <c r="A94" s="30">
        <v>45</v>
      </c>
      <c r="B94" s="469" t="s">
        <v>245</v>
      </c>
      <c r="C94" s="32">
        <f t="shared" si="5"/>
        <v>4355.8410000000003</v>
      </c>
      <c r="D94" s="33">
        <v>4355.8410000000003</v>
      </c>
      <c r="E94" s="28"/>
      <c r="F94" s="28"/>
      <c r="G94" s="28"/>
      <c r="H94" s="28"/>
      <c r="I94" s="28"/>
      <c r="J94" s="28"/>
      <c r="K94" s="29">
        <f t="shared" si="6"/>
        <v>0</v>
      </c>
      <c r="L94" s="28"/>
      <c r="M94" s="29"/>
      <c r="N94" s="29"/>
      <c r="O94" s="29"/>
      <c r="P94" s="28"/>
      <c r="Q94" s="30"/>
      <c r="R94" s="31"/>
      <c r="S94" s="31"/>
      <c r="T94" s="31"/>
      <c r="U94" s="30"/>
    </row>
    <row r="95" spans="1:21" s="25" customFormat="1" ht="15.6">
      <c r="A95" s="30">
        <v>46</v>
      </c>
      <c r="B95" s="469" t="s">
        <v>246</v>
      </c>
      <c r="C95" s="32">
        <f t="shared" si="5"/>
        <v>5256.6940000000004</v>
      </c>
      <c r="D95" s="33">
        <v>5256.6940000000004</v>
      </c>
      <c r="E95" s="28"/>
      <c r="F95" s="28"/>
      <c r="G95" s="28"/>
      <c r="H95" s="28"/>
      <c r="I95" s="28"/>
      <c r="J95" s="28"/>
      <c r="K95" s="29">
        <f t="shared" si="6"/>
        <v>0</v>
      </c>
      <c r="L95" s="28"/>
      <c r="M95" s="29"/>
      <c r="N95" s="29"/>
      <c r="O95" s="29"/>
      <c r="P95" s="28"/>
      <c r="Q95" s="30"/>
      <c r="R95" s="31"/>
      <c r="S95" s="31"/>
      <c r="T95" s="31"/>
      <c r="U95" s="30"/>
    </row>
    <row r="96" spans="1:21" s="25" customFormat="1" ht="15.6">
      <c r="A96" s="30">
        <v>47</v>
      </c>
      <c r="B96" s="469" t="s">
        <v>247</v>
      </c>
      <c r="C96" s="32">
        <f t="shared" si="5"/>
        <v>3293.6849999999999</v>
      </c>
      <c r="D96" s="33">
        <v>3293.6849999999999</v>
      </c>
      <c r="E96" s="28"/>
      <c r="F96" s="28"/>
      <c r="G96" s="28"/>
      <c r="H96" s="28"/>
      <c r="I96" s="28"/>
      <c r="J96" s="28"/>
      <c r="K96" s="29">
        <f t="shared" si="6"/>
        <v>0</v>
      </c>
      <c r="L96" s="28"/>
      <c r="M96" s="29"/>
      <c r="N96" s="29"/>
      <c r="O96" s="29"/>
      <c r="P96" s="28"/>
      <c r="Q96" s="30"/>
      <c r="R96" s="31"/>
      <c r="S96" s="31"/>
      <c r="T96" s="31"/>
      <c r="U96" s="30"/>
    </row>
    <row r="97" spans="1:21" s="25" customFormat="1" ht="15.6">
      <c r="A97" s="30">
        <v>48</v>
      </c>
      <c r="B97" s="469" t="s">
        <v>248</v>
      </c>
      <c r="C97" s="32">
        <f t="shared" si="5"/>
        <v>9381.7939999999999</v>
      </c>
      <c r="D97" s="33">
        <v>9381.7939999999999</v>
      </c>
      <c r="E97" s="28"/>
      <c r="F97" s="28"/>
      <c r="G97" s="28"/>
      <c r="H97" s="28"/>
      <c r="I97" s="28"/>
      <c r="J97" s="28"/>
      <c r="K97" s="29">
        <f t="shared" si="6"/>
        <v>0</v>
      </c>
      <c r="L97" s="28"/>
      <c r="M97" s="29"/>
      <c r="N97" s="29"/>
      <c r="O97" s="29"/>
      <c r="P97" s="28"/>
      <c r="Q97" s="30"/>
      <c r="R97" s="31"/>
      <c r="S97" s="31"/>
      <c r="T97" s="31"/>
      <c r="U97" s="30"/>
    </row>
    <row r="98" spans="1:21" s="25" customFormat="1" ht="15.6">
      <c r="A98" s="30">
        <v>49</v>
      </c>
      <c r="B98" s="469" t="s">
        <v>249</v>
      </c>
      <c r="C98" s="32">
        <f t="shared" si="5"/>
        <v>9070.6990000000005</v>
      </c>
      <c r="D98" s="33">
        <v>9070.6990000000005</v>
      </c>
      <c r="E98" s="28"/>
      <c r="F98" s="28"/>
      <c r="G98" s="28"/>
      <c r="H98" s="28"/>
      <c r="I98" s="28"/>
      <c r="J98" s="28"/>
      <c r="K98" s="29">
        <f t="shared" si="6"/>
        <v>0</v>
      </c>
      <c r="L98" s="28"/>
      <c r="M98" s="29"/>
      <c r="N98" s="29"/>
      <c r="O98" s="29"/>
      <c r="P98" s="28"/>
      <c r="Q98" s="30"/>
      <c r="R98" s="31"/>
      <c r="S98" s="31"/>
      <c r="T98" s="31"/>
      <c r="U98" s="30"/>
    </row>
    <row r="99" spans="1:21" s="25" customFormat="1" ht="15.6">
      <c r="A99" s="30">
        <v>50</v>
      </c>
      <c r="B99" s="469" t="s">
        <v>250</v>
      </c>
      <c r="C99" s="32">
        <f t="shared" si="5"/>
        <v>22373.504000000001</v>
      </c>
      <c r="D99" s="33">
        <v>22373.504000000001</v>
      </c>
      <c r="E99" s="28"/>
      <c r="F99" s="28"/>
      <c r="G99" s="28"/>
      <c r="H99" s="28"/>
      <c r="I99" s="28"/>
      <c r="J99" s="28"/>
      <c r="K99" s="29">
        <f t="shared" si="6"/>
        <v>0</v>
      </c>
      <c r="L99" s="28"/>
      <c r="M99" s="29"/>
      <c r="N99" s="29"/>
      <c r="O99" s="29"/>
      <c r="P99" s="28"/>
      <c r="Q99" s="30"/>
      <c r="R99" s="31"/>
      <c r="S99" s="31"/>
      <c r="T99" s="31"/>
      <c r="U99" s="30"/>
    </row>
    <row r="100" spans="1:21" s="25" customFormat="1" ht="15.6">
      <c r="A100" s="30">
        <v>51</v>
      </c>
      <c r="B100" s="469" t="s">
        <v>251</v>
      </c>
      <c r="C100" s="32">
        <f t="shared" si="5"/>
        <v>12283.725</v>
      </c>
      <c r="D100" s="33">
        <v>12283.725</v>
      </c>
      <c r="E100" s="28"/>
      <c r="F100" s="28"/>
      <c r="G100" s="28"/>
      <c r="H100" s="28"/>
      <c r="I100" s="28"/>
      <c r="J100" s="28"/>
      <c r="K100" s="29">
        <f t="shared" si="6"/>
        <v>0</v>
      </c>
      <c r="L100" s="28"/>
      <c r="M100" s="29"/>
      <c r="N100" s="29"/>
      <c r="O100" s="29"/>
      <c r="P100" s="28"/>
      <c r="Q100" s="30"/>
      <c r="R100" s="31"/>
      <c r="S100" s="31"/>
      <c r="T100" s="31"/>
      <c r="U100" s="30"/>
    </row>
    <row r="101" spans="1:21" s="25" customFormat="1" ht="15.6">
      <c r="A101" s="30">
        <v>52</v>
      </c>
      <c r="B101" s="469" t="s">
        <v>252</v>
      </c>
      <c r="C101" s="32">
        <f t="shared" si="5"/>
        <v>8864.7139999999999</v>
      </c>
      <c r="D101" s="33">
        <v>8864.7139999999999</v>
      </c>
      <c r="E101" s="28"/>
      <c r="F101" s="28"/>
      <c r="G101" s="28"/>
      <c r="H101" s="28"/>
      <c r="I101" s="28"/>
      <c r="J101" s="28"/>
      <c r="K101" s="29">
        <f t="shared" si="6"/>
        <v>0</v>
      </c>
      <c r="L101" s="28"/>
      <c r="M101" s="29"/>
      <c r="N101" s="29"/>
      <c r="O101" s="29"/>
      <c r="P101" s="28"/>
      <c r="Q101" s="30"/>
      <c r="R101" s="31"/>
      <c r="S101" s="31"/>
      <c r="T101" s="31"/>
      <c r="U101" s="30"/>
    </row>
    <row r="102" spans="1:21" s="25" customFormat="1" ht="15.6">
      <c r="A102" s="30">
        <v>53</v>
      </c>
      <c r="B102" s="469" t="s">
        <v>336</v>
      </c>
      <c r="C102" s="32">
        <f t="shared" si="5"/>
        <v>7702.9269999999997</v>
      </c>
      <c r="D102" s="33">
        <v>7702.9269999999997</v>
      </c>
      <c r="E102" s="28"/>
      <c r="F102" s="28"/>
      <c r="G102" s="28"/>
      <c r="H102" s="28"/>
      <c r="I102" s="28"/>
      <c r="J102" s="28"/>
      <c r="K102" s="29">
        <f t="shared" si="6"/>
        <v>0</v>
      </c>
      <c r="L102" s="28"/>
      <c r="M102" s="29"/>
      <c r="N102" s="29"/>
      <c r="O102" s="29"/>
      <c r="P102" s="28"/>
      <c r="Q102" s="30"/>
      <c r="R102" s="31"/>
      <c r="S102" s="31"/>
      <c r="T102" s="31"/>
      <c r="U102" s="30"/>
    </row>
    <row r="103" spans="1:21" s="25" customFormat="1" ht="15.6">
      <c r="A103" s="37">
        <v>54</v>
      </c>
      <c r="B103" s="470" t="s">
        <v>337</v>
      </c>
      <c r="C103" s="36">
        <f t="shared" si="5"/>
        <v>18931.691999999999</v>
      </c>
      <c r="D103" s="471">
        <v>18931.691999999999</v>
      </c>
      <c r="E103" s="35"/>
      <c r="F103" s="35"/>
      <c r="G103" s="35"/>
      <c r="H103" s="35"/>
      <c r="I103" s="35"/>
      <c r="J103" s="35"/>
      <c r="K103" s="43">
        <f t="shared" si="6"/>
        <v>0</v>
      </c>
      <c r="L103" s="35"/>
      <c r="M103" s="43"/>
      <c r="N103" s="43"/>
      <c r="O103" s="43"/>
      <c r="P103" s="35"/>
      <c r="Q103" s="37"/>
      <c r="R103" s="44"/>
      <c r="S103" s="44"/>
      <c r="T103" s="44"/>
      <c r="U103" s="30"/>
    </row>
    <row r="104" spans="1:21" s="25" customFormat="1" ht="15.6">
      <c r="A104" s="38"/>
      <c r="B104" s="472" t="s">
        <v>407</v>
      </c>
      <c r="C104" s="50">
        <f>SUM(C105:C138)</f>
        <v>395116.56599999999</v>
      </c>
      <c r="D104" s="50">
        <f>SUM(D105:D138)</f>
        <v>395116.56599999999</v>
      </c>
      <c r="E104" s="51"/>
      <c r="F104" s="51"/>
      <c r="G104" s="51"/>
      <c r="H104" s="51"/>
      <c r="I104" s="51"/>
      <c r="J104" s="51"/>
      <c r="K104" s="163"/>
      <c r="L104" s="51"/>
      <c r="M104" s="163"/>
      <c r="N104" s="163"/>
      <c r="O104" s="163"/>
      <c r="P104" s="51"/>
      <c r="Q104" s="38"/>
      <c r="R104" s="164"/>
      <c r="S104" s="164"/>
      <c r="T104" s="164"/>
      <c r="U104" s="30"/>
    </row>
    <row r="105" spans="1:21" s="25" customFormat="1" ht="15.6">
      <c r="A105" s="23">
        <v>1</v>
      </c>
      <c r="B105" s="469" t="s">
        <v>253</v>
      </c>
      <c r="C105" s="26">
        <f t="shared" si="5"/>
        <v>5892.4430000000002</v>
      </c>
      <c r="D105" s="27">
        <v>5892.4430000000002</v>
      </c>
      <c r="E105" s="42"/>
      <c r="F105" s="42"/>
      <c r="G105" s="42"/>
      <c r="H105" s="42"/>
      <c r="I105" s="42"/>
      <c r="J105" s="42"/>
      <c r="K105" s="48">
        <f t="shared" si="6"/>
        <v>0</v>
      </c>
      <c r="L105" s="42"/>
      <c r="M105" s="48"/>
      <c r="N105" s="48"/>
      <c r="O105" s="48"/>
      <c r="P105" s="42"/>
      <c r="Q105" s="23"/>
      <c r="R105" s="49"/>
      <c r="S105" s="49"/>
      <c r="T105" s="49"/>
      <c r="U105" s="30"/>
    </row>
    <row r="106" spans="1:21" s="25" customFormat="1" ht="15.6">
      <c r="A106" s="30">
        <v>2</v>
      </c>
      <c r="B106" s="469" t="s">
        <v>254</v>
      </c>
      <c r="C106" s="32">
        <f t="shared" si="5"/>
        <v>10542.297</v>
      </c>
      <c r="D106" s="33">
        <v>10542.297</v>
      </c>
      <c r="E106" s="28"/>
      <c r="F106" s="28"/>
      <c r="G106" s="28"/>
      <c r="H106" s="28"/>
      <c r="I106" s="28"/>
      <c r="J106" s="28"/>
      <c r="K106" s="29">
        <f t="shared" si="6"/>
        <v>0</v>
      </c>
      <c r="L106" s="28"/>
      <c r="M106" s="29"/>
      <c r="N106" s="29"/>
      <c r="O106" s="29"/>
      <c r="P106" s="28"/>
      <c r="Q106" s="30"/>
      <c r="R106" s="31"/>
      <c r="S106" s="31"/>
      <c r="T106" s="31"/>
      <c r="U106" s="30"/>
    </row>
    <row r="107" spans="1:21" s="25" customFormat="1" ht="15.6">
      <c r="A107" s="30">
        <v>3</v>
      </c>
      <c r="B107" s="469" t="s">
        <v>255</v>
      </c>
      <c r="C107" s="32">
        <f t="shared" si="5"/>
        <v>8361.9590000000007</v>
      </c>
      <c r="D107" s="33">
        <v>8361.9590000000007</v>
      </c>
      <c r="E107" s="28"/>
      <c r="F107" s="28"/>
      <c r="G107" s="28"/>
      <c r="H107" s="28"/>
      <c r="I107" s="28"/>
      <c r="J107" s="28"/>
      <c r="K107" s="29">
        <f t="shared" si="6"/>
        <v>0</v>
      </c>
      <c r="L107" s="28"/>
      <c r="M107" s="29"/>
      <c r="N107" s="29"/>
      <c r="O107" s="29"/>
      <c r="P107" s="28"/>
      <c r="Q107" s="30"/>
      <c r="R107" s="31"/>
      <c r="S107" s="31"/>
      <c r="T107" s="31"/>
      <c r="U107" s="30"/>
    </row>
    <row r="108" spans="1:21" s="25" customFormat="1" ht="15.6">
      <c r="A108" s="30">
        <v>4</v>
      </c>
      <c r="B108" s="469" t="s">
        <v>256</v>
      </c>
      <c r="C108" s="32">
        <f t="shared" si="5"/>
        <v>20491.887999999999</v>
      </c>
      <c r="D108" s="33">
        <v>20491.887999999999</v>
      </c>
      <c r="E108" s="28"/>
      <c r="F108" s="28"/>
      <c r="G108" s="28"/>
      <c r="H108" s="28"/>
      <c r="I108" s="28"/>
      <c r="J108" s="28"/>
      <c r="K108" s="29">
        <f t="shared" si="6"/>
        <v>0</v>
      </c>
      <c r="L108" s="28"/>
      <c r="M108" s="29"/>
      <c r="N108" s="29"/>
      <c r="O108" s="29"/>
      <c r="P108" s="28"/>
      <c r="Q108" s="30"/>
      <c r="R108" s="31"/>
      <c r="S108" s="31"/>
      <c r="T108" s="31"/>
      <c r="U108" s="30"/>
    </row>
    <row r="109" spans="1:21" s="25" customFormat="1" ht="15.6">
      <c r="A109" s="30">
        <v>5</v>
      </c>
      <c r="B109" s="469" t="s">
        <v>257</v>
      </c>
      <c r="C109" s="32">
        <f t="shared" si="5"/>
        <v>10909.203</v>
      </c>
      <c r="D109" s="33">
        <v>10909.203</v>
      </c>
      <c r="E109" s="28"/>
      <c r="F109" s="28"/>
      <c r="G109" s="28"/>
      <c r="H109" s="28"/>
      <c r="I109" s="28"/>
      <c r="J109" s="28"/>
      <c r="K109" s="29">
        <f t="shared" si="6"/>
        <v>0</v>
      </c>
      <c r="L109" s="28"/>
      <c r="M109" s="29"/>
      <c r="N109" s="29"/>
      <c r="O109" s="29"/>
      <c r="P109" s="28"/>
      <c r="Q109" s="30"/>
      <c r="R109" s="31"/>
      <c r="S109" s="31"/>
      <c r="T109" s="31"/>
      <c r="U109" s="30"/>
    </row>
    <row r="110" spans="1:21" s="25" customFormat="1" ht="15.6">
      <c r="A110" s="30">
        <v>6</v>
      </c>
      <c r="B110" s="469" t="s">
        <v>258</v>
      </c>
      <c r="C110" s="32">
        <f t="shared" si="5"/>
        <v>10540.531000000001</v>
      </c>
      <c r="D110" s="33">
        <v>10540.531000000001</v>
      </c>
      <c r="E110" s="28"/>
      <c r="F110" s="28"/>
      <c r="G110" s="28"/>
      <c r="H110" s="28"/>
      <c r="I110" s="28"/>
      <c r="J110" s="28"/>
      <c r="K110" s="29">
        <f t="shared" si="6"/>
        <v>0</v>
      </c>
      <c r="L110" s="28"/>
      <c r="M110" s="29"/>
      <c r="N110" s="29"/>
      <c r="O110" s="29"/>
      <c r="P110" s="28"/>
      <c r="Q110" s="30"/>
      <c r="R110" s="31"/>
      <c r="S110" s="31"/>
      <c r="T110" s="31"/>
      <c r="U110" s="30"/>
    </row>
    <row r="111" spans="1:21" s="25" customFormat="1" ht="15.6">
      <c r="A111" s="30">
        <v>7</v>
      </c>
      <c r="B111" s="469" t="s">
        <v>259</v>
      </c>
      <c r="C111" s="32">
        <f t="shared" si="5"/>
        <v>12837.137000000001</v>
      </c>
      <c r="D111" s="33">
        <v>12837.137000000001</v>
      </c>
      <c r="E111" s="28"/>
      <c r="F111" s="28"/>
      <c r="G111" s="28"/>
      <c r="H111" s="28"/>
      <c r="I111" s="28"/>
      <c r="J111" s="28"/>
      <c r="K111" s="29">
        <f t="shared" si="6"/>
        <v>0</v>
      </c>
      <c r="L111" s="28"/>
      <c r="M111" s="29"/>
      <c r="N111" s="29"/>
      <c r="O111" s="29"/>
      <c r="P111" s="28"/>
      <c r="Q111" s="30"/>
      <c r="R111" s="31"/>
      <c r="S111" s="31"/>
      <c r="T111" s="31"/>
      <c r="U111" s="30"/>
    </row>
    <row r="112" spans="1:21" s="25" customFormat="1" ht="15.6">
      <c r="A112" s="30">
        <v>8</v>
      </c>
      <c r="B112" s="469" t="s">
        <v>260</v>
      </c>
      <c r="C112" s="32">
        <f t="shared" si="5"/>
        <v>11577.043</v>
      </c>
      <c r="D112" s="33">
        <v>11577.043</v>
      </c>
      <c r="E112" s="28"/>
      <c r="F112" s="28"/>
      <c r="G112" s="28"/>
      <c r="H112" s="28"/>
      <c r="I112" s="28"/>
      <c r="J112" s="28"/>
      <c r="K112" s="29">
        <f t="shared" si="6"/>
        <v>0</v>
      </c>
      <c r="L112" s="28"/>
      <c r="M112" s="29"/>
      <c r="N112" s="29"/>
      <c r="O112" s="29"/>
      <c r="P112" s="28"/>
      <c r="Q112" s="30"/>
      <c r="R112" s="31"/>
      <c r="S112" s="31"/>
      <c r="T112" s="31"/>
      <c r="U112" s="30"/>
    </row>
    <row r="113" spans="1:21" s="25" customFormat="1" ht="15.6">
      <c r="A113" s="30">
        <v>9</v>
      </c>
      <c r="B113" s="469" t="s">
        <v>261</v>
      </c>
      <c r="C113" s="32">
        <f t="shared" si="5"/>
        <v>5455.5360000000001</v>
      </c>
      <c r="D113" s="33">
        <v>5455.5360000000001</v>
      </c>
      <c r="E113" s="28"/>
      <c r="F113" s="28"/>
      <c r="G113" s="28"/>
      <c r="H113" s="28"/>
      <c r="I113" s="28"/>
      <c r="J113" s="28"/>
      <c r="K113" s="29">
        <f t="shared" si="6"/>
        <v>0</v>
      </c>
      <c r="L113" s="28"/>
      <c r="M113" s="29"/>
      <c r="N113" s="29"/>
      <c r="O113" s="29"/>
      <c r="P113" s="28"/>
      <c r="Q113" s="30"/>
      <c r="R113" s="31"/>
      <c r="S113" s="31"/>
      <c r="T113" s="31"/>
      <c r="U113" s="30"/>
    </row>
    <row r="114" spans="1:21" s="25" customFormat="1" ht="15.6">
      <c r="A114" s="30">
        <v>10</v>
      </c>
      <c r="B114" s="469" t="s">
        <v>262</v>
      </c>
      <c r="C114" s="32">
        <f t="shared" si="5"/>
        <v>7976.982</v>
      </c>
      <c r="D114" s="33">
        <v>7976.982</v>
      </c>
      <c r="E114" s="28"/>
      <c r="F114" s="28"/>
      <c r="G114" s="28"/>
      <c r="H114" s="28"/>
      <c r="I114" s="28"/>
      <c r="J114" s="28"/>
      <c r="K114" s="29">
        <f t="shared" si="6"/>
        <v>0</v>
      </c>
      <c r="L114" s="28"/>
      <c r="M114" s="29"/>
      <c r="N114" s="29"/>
      <c r="O114" s="29"/>
      <c r="P114" s="28"/>
      <c r="Q114" s="30"/>
      <c r="R114" s="31"/>
      <c r="S114" s="31"/>
      <c r="T114" s="31"/>
      <c r="U114" s="30"/>
    </row>
    <row r="115" spans="1:21" s="25" customFormat="1" ht="15.6">
      <c r="A115" s="30">
        <v>11</v>
      </c>
      <c r="B115" s="469" t="s">
        <v>263</v>
      </c>
      <c r="C115" s="32">
        <f t="shared" si="5"/>
        <v>12929.507</v>
      </c>
      <c r="D115" s="33">
        <v>12929.507</v>
      </c>
      <c r="E115" s="28"/>
      <c r="F115" s="28"/>
      <c r="G115" s="28"/>
      <c r="H115" s="28"/>
      <c r="I115" s="28"/>
      <c r="J115" s="28"/>
      <c r="K115" s="29">
        <f t="shared" si="6"/>
        <v>0</v>
      </c>
      <c r="L115" s="28"/>
      <c r="M115" s="29"/>
      <c r="N115" s="29"/>
      <c r="O115" s="29"/>
      <c r="P115" s="28"/>
      <c r="Q115" s="30"/>
      <c r="R115" s="31"/>
      <c r="S115" s="31"/>
      <c r="T115" s="31"/>
      <c r="U115" s="30"/>
    </row>
    <row r="116" spans="1:21" s="25" customFormat="1" ht="15.6">
      <c r="A116" s="30">
        <v>12</v>
      </c>
      <c r="B116" s="469" t="s">
        <v>264</v>
      </c>
      <c r="C116" s="32">
        <f t="shared" si="5"/>
        <v>13846.518</v>
      </c>
      <c r="D116" s="33">
        <v>13846.518</v>
      </c>
      <c r="E116" s="28"/>
      <c r="F116" s="28"/>
      <c r="G116" s="28"/>
      <c r="H116" s="28"/>
      <c r="I116" s="28"/>
      <c r="J116" s="28"/>
      <c r="K116" s="29">
        <f t="shared" si="6"/>
        <v>0</v>
      </c>
      <c r="L116" s="28"/>
      <c r="M116" s="29"/>
      <c r="N116" s="29"/>
      <c r="O116" s="29"/>
      <c r="P116" s="28"/>
      <c r="Q116" s="30"/>
      <c r="R116" s="31"/>
      <c r="S116" s="31"/>
      <c r="T116" s="31"/>
      <c r="U116" s="30"/>
    </row>
    <row r="117" spans="1:21" s="25" customFormat="1" ht="15.6">
      <c r="A117" s="30">
        <v>13</v>
      </c>
      <c r="B117" s="469" t="s">
        <v>265</v>
      </c>
      <c r="C117" s="32">
        <f t="shared" si="5"/>
        <v>14901.391</v>
      </c>
      <c r="D117" s="33">
        <v>14901.391</v>
      </c>
      <c r="E117" s="28"/>
      <c r="F117" s="28"/>
      <c r="G117" s="28"/>
      <c r="H117" s="28"/>
      <c r="I117" s="28"/>
      <c r="J117" s="28"/>
      <c r="K117" s="29">
        <f t="shared" si="6"/>
        <v>0</v>
      </c>
      <c r="L117" s="28"/>
      <c r="M117" s="29"/>
      <c r="N117" s="29"/>
      <c r="O117" s="29"/>
      <c r="P117" s="28"/>
      <c r="Q117" s="30"/>
      <c r="R117" s="31"/>
      <c r="S117" s="31"/>
      <c r="T117" s="31"/>
      <c r="U117" s="30"/>
    </row>
    <row r="118" spans="1:21" s="25" customFormat="1" ht="15.6">
      <c r="A118" s="30">
        <v>14</v>
      </c>
      <c r="B118" s="469" t="s">
        <v>266</v>
      </c>
      <c r="C118" s="32">
        <f t="shared" si="5"/>
        <v>7182.7730000000001</v>
      </c>
      <c r="D118" s="33">
        <v>7182.7730000000001</v>
      </c>
      <c r="E118" s="28"/>
      <c r="F118" s="28"/>
      <c r="G118" s="28"/>
      <c r="H118" s="28"/>
      <c r="I118" s="28"/>
      <c r="J118" s="28"/>
      <c r="K118" s="29">
        <f t="shared" si="6"/>
        <v>0</v>
      </c>
      <c r="L118" s="28"/>
      <c r="M118" s="29"/>
      <c r="N118" s="29"/>
      <c r="O118" s="29"/>
      <c r="P118" s="28"/>
      <c r="Q118" s="30"/>
      <c r="R118" s="31"/>
      <c r="S118" s="31"/>
      <c r="T118" s="31"/>
      <c r="U118" s="30"/>
    </row>
    <row r="119" spans="1:21" s="25" customFormat="1" ht="15.6">
      <c r="A119" s="30">
        <v>15</v>
      </c>
      <c r="B119" s="469" t="s">
        <v>267</v>
      </c>
      <c r="C119" s="32">
        <f t="shared" si="5"/>
        <v>6601.8230000000003</v>
      </c>
      <c r="D119" s="33">
        <v>6601.8230000000003</v>
      </c>
      <c r="E119" s="28"/>
      <c r="F119" s="28"/>
      <c r="G119" s="28"/>
      <c r="H119" s="28"/>
      <c r="I119" s="28"/>
      <c r="J119" s="28"/>
      <c r="K119" s="29">
        <f t="shared" si="6"/>
        <v>0</v>
      </c>
      <c r="L119" s="28"/>
      <c r="M119" s="29"/>
      <c r="N119" s="29"/>
      <c r="O119" s="29"/>
      <c r="P119" s="28"/>
      <c r="Q119" s="30"/>
      <c r="R119" s="31"/>
      <c r="S119" s="31"/>
      <c r="T119" s="31"/>
      <c r="U119" s="30"/>
    </row>
    <row r="120" spans="1:21" s="25" customFormat="1" ht="15.6">
      <c r="A120" s="30">
        <v>16</v>
      </c>
      <c r="B120" s="469" t="s">
        <v>268</v>
      </c>
      <c r="C120" s="32">
        <f t="shared" si="5"/>
        <v>11618.873</v>
      </c>
      <c r="D120" s="33">
        <v>11618.873</v>
      </c>
      <c r="E120" s="28"/>
      <c r="F120" s="28"/>
      <c r="G120" s="28"/>
      <c r="H120" s="28"/>
      <c r="I120" s="28"/>
      <c r="J120" s="28"/>
      <c r="K120" s="29">
        <f t="shared" si="6"/>
        <v>0</v>
      </c>
      <c r="L120" s="28"/>
      <c r="M120" s="29"/>
      <c r="N120" s="29"/>
      <c r="O120" s="29"/>
      <c r="P120" s="28"/>
      <c r="Q120" s="30"/>
      <c r="R120" s="31"/>
      <c r="S120" s="31"/>
      <c r="T120" s="31"/>
      <c r="U120" s="30"/>
    </row>
    <row r="121" spans="1:21" s="25" customFormat="1" ht="15.6">
      <c r="A121" s="30">
        <v>17</v>
      </c>
      <c r="B121" s="469" t="s">
        <v>269</v>
      </c>
      <c r="C121" s="32">
        <f t="shared" si="5"/>
        <v>11025.726000000001</v>
      </c>
      <c r="D121" s="33">
        <v>11025.726000000001</v>
      </c>
      <c r="E121" s="28"/>
      <c r="F121" s="28"/>
      <c r="G121" s="28"/>
      <c r="H121" s="28"/>
      <c r="I121" s="28"/>
      <c r="J121" s="28"/>
      <c r="K121" s="29">
        <f t="shared" si="6"/>
        <v>0</v>
      </c>
      <c r="L121" s="28"/>
      <c r="M121" s="29"/>
      <c r="N121" s="29"/>
      <c r="O121" s="29"/>
      <c r="P121" s="28"/>
      <c r="Q121" s="30"/>
      <c r="R121" s="31"/>
      <c r="S121" s="31"/>
      <c r="T121" s="31"/>
      <c r="U121" s="30"/>
    </row>
    <row r="122" spans="1:21" s="25" customFormat="1" ht="15.6">
      <c r="A122" s="30">
        <v>18</v>
      </c>
      <c r="B122" s="469" t="s">
        <v>270</v>
      </c>
      <c r="C122" s="32">
        <f t="shared" si="5"/>
        <v>12288.228999999999</v>
      </c>
      <c r="D122" s="33">
        <v>12288.228999999999</v>
      </c>
      <c r="E122" s="28"/>
      <c r="F122" s="28"/>
      <c r="G122" s="28"/>
      <c r="H122" s="28"/>
      <c r="I122" s="28"/>
      <c r="J122" s="28"/>
      <c r="K122" s="29">
        <f t="shared" si="6"/>
        <v>0</v>
      </c>
      <c r="L122" s="28"/>
      <c r="M122" s="29"/>
      <c r="N122" s="29"/>
      <c r="O122" s="29"/>
      <c r="P122" s="28"/>
      <c r="Q122" s="30"/>
      <c r="R122" s="31"/>
      <c r="S122" s="31"/>
      <c r="T122" s="31"/>
      <c r="U122" s="30"/>
    </row>
    <row r="123" spans="1:21" s="25" customFormat="1" ht="15.6">
      <c r="A123" s="30">
        <v>19</v>
      </c>
      <c r="B123" s="469" t="s">
        <v>271</v>
      </c>
      <c r="C123" s="32">
        <f t="shared" si="5"/>
        <v>14678.736000000001</v>
      </c>
      <c r="D123" s="33">
        <v>14678.736000000001</v>
      </c>
      <c r="E123" s="28"/>
      <c r="F123" s="28"/>
      <c r="G123" s="28"/>
      <c r="H123" s="28"/>
      <c r="I123" s="28"/>
      <c r="J123" s="28"/>
      <c r="K123" s="29">
        <f t="shared" si="6"/>
        <v>0</v>
      </c>
      <c r="L123" s="28"/>
      <c r="M123" s="29"/>
      <c r="N123" s="29"/>
      <c r="O123" s="29"/>
      <c r="P123" s="28"/>
      <c r="Q123" s="30"/>
      <c r="R123" s="31"/>
      <c r="S123" s="31"/>
      <c r="T123" s="31"/>
      <c r="U123" s="30"/>
    </row>
    <row r="124" spans="1:21" s="25" customFormat="1" ht="15.6">
      <c r="A124" s="30">
        <v>20</v>
      </c>
      <c r="B124" s="469" t="s">
        <v>272</v>
      </c>
      <c r="C124" s="32">
        <f t="shared" si="5"/>
        <v>8563.6560000000009</v>
      </c>
      <c r="D124" s="33">
        <v>8563.6560000000009</v>
      </c>
      <c r="E124" s="28"/>
      <c r="F124" s="28"/>
      <c r="G124" s="28"/>
      <c r="H124" s="28"/>
      <c r="I124" s="28"/>
      <c r="J124" s="28"/>
      <c r="K124" s="29">
        <f t="shared" si="6"/>
        <v>0</v>
      </c>
      <c r="L124" s="28"/>
      <c r="M124" s="29"/>
      <c r="N124" s="29"/>
      <c r="O124" s="29"/>
      <c r="P124" s="28"/>
      <c r="Q124" s="30"/>
      <c r="R124" s="31"/>
      <c r="S124" s="31"/>
      <c r="T124" s="31"/>
      <c r="U124" s="30"/>
    </row>
    <row r="125" spans="1:21" s="25" customFormat="1" ht="15.6">
      <c r="A125" s="30">
        <v>21</v>
      </c>
      <c r="B125" s="469" t="s">
        <v>273</v>
      </c>
      <c r="C125" s="32">
        <f t="shared" si="5"/>
        <v>11238.375</v>
      </c>
      <c r="D125" s="33">
        <v>11238.375</v>
      </c>
      <c r="E125" s="28"/>
      <c r="F125" s="28"/>
      <c r="G125" s="28"/>
      <c r="H125" s="28"/>
      <c r="I125" s="28"/>
      <c r="J125" s="28"/>
      <c r="K125" s="29">
        <f t="shared" si="6"/>
        <v>0</v>
      </c>
      <c r="L125" s="28"/>
      <c r="M125" s="29"/>
      <c r="N125" s="29"/>
      <c r="O125" s="29"/>
      <c r="P125" s="28"/>
      <c r="Q125" s="30"/>
      <c r="R125" s="31"/>
      <c r="S125" s="31"/>
      <c r="T125" s="31"/>
      <c r="U125" s="30"/>
    </row>
    <row r="126" spans="1:21" s="25" customFormat="1" ht="15.6">
      <c r="A126" s="30">
        <v>22</v>
      </c>
      <c r="B126" s="469" t="s">
        <v>274</v>
      </c>
      <c r="C126" s="32">
        <f t="shared" si="5"/>
        <v>6267.3609999999999</v>
      </c>
      <c r="D126" s="33">
        <v>6267.3609999999999</v>
      </c>
      <c r="E126" s="28"/>
      <c r="F126" s="28"/>
      <c r="G126" s="28"/>
      <c r="H126" s="28"/>
      <c r="I126" s="28"/>
      <c r="J126" s="28"/>
      <c r="K126" s="29">
        <f t="shared" si="6"/>
        <v>0</v>
      </c>
      <c r="L126" s="28"/>
      <c r="M126" s="29"/>
      <c r="N126" s="29"/>
      <c r="O126" s="29"/>
      <c r="P126" s="28"/>
      <c r="Q126" s="30"/>
      <c r="R126" s="31"/>
      <c r="S126" s="31"/>
      <c r="T126" s="31"/>
      <c r="U126" s="30"/>
    </row>
    <row r="127" spans="1:21" s="25" customFormat="1" ht="15.6">
      <c r="A127" s="30">
        <v>23</v>
      </c>
      <c r="B127" s="469" t="s">
        <v>275</v>
      </c>
      <c r="C127" s="32">
        <f t="shared" si="5"/>
        <v>10037.334000000001</v>
      </c>
      <c r="D127" s="33">
        <v>10037.334000000001</v>
      </c>
      <c r="E127" s="28"/>
      <c r="F127" s="28"/>
      <c r="G127" s="28"/>
      <c r="H127" s="28"/>
      <c r="I127" s="28"/>
      <c r="J127" s="28"/>
      <c r="K127" s="29">
        <f t="shared" si="6"/>
        <v>0</v>
      </c>
      <c r="L127" s="28"/>
      <c r="M127" s="29"/>
      <c r="N127" s="29"/>
      <c r="O127" s="29"/>
      <c r="P127" s="28"/>
      <c r="Q127" s="30"/>
      <c r="R127" s="31"/>
      <c r="S127" s="31"/>
      <c r="T127" s="31"/>
      <c r="U127" s="30"/>
    </row>
    <row r="128" spans="1:21" s="25" customFormat="1" ht="15.6">
      <c r="A128" s="30">
        <v>24</v>
      </c>
      <c r="B128" s="469" t="s">
        <v>276</v>
      </c>
      <c r="C128" s="32">
        <f t="shared" si="5"/>
        <v>7273.77</v>
      </c>
      <c r="D128" s="33">
        <v>7273.77</v>
      </c>
      <c r="E128" s="28"/>
      <c r="F128" s="28"/>
      <c r="G128" s="28"/>
      <c r="H128" s="28"/>
      <c r="I128" s="28"/>
      <c r="J128" s="28"/>
      <c r="K128" s="29">
        <f t="shared" si="6"/>
        <v>0</v>
      </c>
      <c r="L128" s="28"/>
      <c r="M128" s="29"/>
      <c r="N128" s="29"/>
      <c r="O128" s="29"/>
      <c r="P128" s="28"/>
      <c r="Q128" s="30"/>
      <c r="R128" s="31"/>
      <c r="S128" s="31"/>
      <c r="T128" s="31"/>
      <c r="U128" s="30"/>
    </row>
    <row r="129" spans="1:21" s="25" customFormat="1" ht="15.6">
      <c r="A129" s="30">
        <v>25</v>
      </c>
      <c r="B129" s="469" t="s">
        <v>277</v>
      </c>
      <c r="C129" s="32">
        <f t="shared" si="5"/>
        <v>18920.830999999998</v>
      </c>
      <c r="D129" s="33">
        <v>18920.830999999998</v>
      </c>
      <c r="E129" s="28"/>
      <c r="F129" s="28"/>
      <c r="G129" s="28"/>
      <c r="H129" s="28"/>
      <c r="I129" s="28"/>
      <c r="J129" s="28"/>
      <c r="K129" s="29">
        <f t="shared" si="6"/>
        <v>0</v>
      </c>
      <c r="L129" s="28"/>
      <c r="M129" s="29"/>
      <c r="N129" s="29"/>
      <c r="O129" s="29"/>
      <c r="P129" s="28"/>
      <c r="Q129" s="30"/>
      <c r="R129" s="31"/>
      <c r="S129" s="31"/>
      <c r="T129" s="31"/>
      <c r="U129" s="30"/>
    </row>
    <row r="130" spans="1:21" s="25" customFormat="1" ht="15.6">
      <c r="A130" s="30">
        <v>26</v>
      </c>
      <c r="B130" s="469" t="s">
        <v>278</v>
      </c>
      <c r="C130" s="32">
        <f t="shared" si="5"/>
        <v>18954.616999999998</v>
      </c>
      <c r="D130" s="33">
        <v>18954.616999999998</v>
      </c>
      <c r="E130" s="28"/>
      <c r="F130" s="28"/>
      <c r="G130" s="28"/>
      <c r="H130" s="28"/>
      <c r="I130" s="28"/>
      <c r="J130" s="28"/>
      <c r="K130" s="29">
        <f t="shared" si="6"/>
        <v>0</v>
      </c>
      <c r="L130" s="28"/>
      <c r="M130" s="29"/>
      <c r="N130" s="29"/>
      <c r="O130" s="29"/>
      <c r="P130" s="28"/>
      <c r="Q130" s="30"/>
      <c r="R130" s="31"/>
      <c r="S130" s="31"/>
      <c r="T130" s="31"/>
      <c r="U130" s="30"/>
    </row>
    <row r="131" spans="1:21" s="25" customFormat="1" ht="15.6">
      <c r="A131" s="30">
        <v>27</v>
      </c>
      <c r="B131" s="469" t="s">
        <v>279</v>
      </c>
      <c r="C131" s="32">
        <f t="shared" si="5"/>
        <v>3254.415</v>
      </c>
      <c r="D131" s="33">
        <v>3254.415</v>
      </c>
      <c r="E131" s="28"/>
      <c r="F131" s="28"/>
      <c r="G131" s="28"/>
      <c r="H131" s="28"/>
      <c r="I131" s="28"/>
      <c r="J131" s="28"/>
      <c r="K131" s="29">
        <f t="shared" si="6"/>
        <v>0</v>
      </c>
      <c r="L131" s="28"/>
      <c r="M131" s="29"/>
      <c r="N131" s="29"/>
      <c r="O131" s="29"/>
      <c r="P131" s="28"/>
      <c r="Q131" s="30"/>
      <c r="R131" s="31"/>
      <c r="S131" s="31"/>
      <c r="T131" s="31"/>
      <c r="U131" s="30"/>
    </row>
    <row r="132" spans="1:21" s="25" customFormat="1" ht="15.6">
      <c r="A132" s="30">
        <v>28</v>
      </c>
      <c r="B132" s="469" t="s">
        <v>280</v>
      </c>
      <c r="C132" s="32">
        <f t="shared" si="5"/>
        <v>10098.868</v>
      </c>
      <c r="D132" s="33">
        <v>10098.868</v>
      </c>
      <c r="E132" s="28"/>
      <c r="F132" s="28"/>
      <c r="G132" s="28"/>
      <c r="H132" s="28"/>
      <c r="I132" s="28"/>
      <c r="J132" s="28"/>
      <c r="K132" s="29">
        <f t="shared" si="6"/>
        <v>0</v>
      </c>
      <c r="L132" s="28"/>
      <c r="M132" s="29"/>
      <c r="N132" s="29"/>
      <c r="O132" s="29"/>
      <c r="P132" s="28"/>
      <c r="Q132" s="30"/>
      <c r="R132" s="31"/>
      <c r="S132" s="31"/>
      <c r="T132" s="31"/>
      <c r="U132" s="30"/>
    </row>
    <row r="133" spans="1:21" s="25" customFormat="1" ht="15.6">
      <c r="A133" s="30">
        <v>29</v>
      </c>
      <c r="B133" s="469" t="s">
        <v>281</v>
      </c>
      <c r="C133" s="32">
        <f t="shared" si="5"/>
        <v>14062.328</v>
      </c>
      <c r="D133" s="33">
        <v>14062.328</v>
      </c>
      <c r="E133" s="28"/>
      <c r="F133" s="28"/>
      <c r="G133" s="28"/>
      <c r="H133" s="28"/>
      <c r="I133" s="28"/>
      <c r="J133" s="28"/>
      <c r="K133" s="29">
        <f t="shared" si="6"/>
        <v>0</v>
      </c>
      <c r="L133" s="28"/>
      <c r="M133" s="29"/>
      <c r="N133" s="29"/>
      <c r="O133" s="29"/>
      <c r="P133" s="28"/>
      <c r="Q133" s="30"/>
      <c r="R133" s="31"/>
      <c r="S133" s="31"/>
      <c r="T133" s="31"/>
      <c r="U133" s="30"/>
    </row>
    <row r="134" spans="1:21" s="25" customFormat="1" ht="15.6">
      <c r="A134" s="30">
        <v>30</v>
      </c>
      <c r="B134" s="469" t="s">
        <v>282</v>
      </c>
      <c r="C134" s="32">
        <f t="shared" si="5"/>
        <v>20929.661</v>
      </c>
      <c r="D134" s="33">
        <v>20929.661</v>
      </c>
      <c r="E134" s="28"/>
      <c r="F134" s="28"/>
      <c r="G134" s="28"/>
      <c r="H134" s="28"/>
      <c r="I134" s="28"/>
      <c r="J134" s="28"/>
      <c r="K134" s="29">
        <f t="shared" si="6"/>
        <v>0</v>
      </c>
      <c r="L134" s="28"/>
      <c r="M134" s="29"/>
      <c r="N134" s="29"/>
      <c r="O134" s="29"/>
      <c r="P134" s="28"/>
      <c r="Q134" s="30"/>
      <c r="R134" s="31"/>
      <c r="S134" s="31"/>
      <c r="T134" s="31"/>
      <c r="U134" s="30"/>
    </row>
    <row r="135" spans="1:21" s="25" customFormat="1" ht="15.6">
      <c r="A135" s="30">
        <v>31</v>
      </c>
      <c r="B135" s="469" t="s">
        <v>285</v>
      </c>
      <c r="C135" s="32">
        <f t="shared" si="5"/>
        <v>17503.38</v>
      </c>
      <c r="D135" s="33">
        <v>17503.38</v>
      </c>
      <c r="E135" s="28"/>
      <c r="F135" s="28"/>
      <c r="G135" s="28"/>
      <c r="H135" s="28"/>
      <c r="I135" s="28"/>
      <c r="J135" s="28"/>
      <c r="K135" s="29">
        <f t="shared" si="6"/>
        <v>0</v>
      </c>
      <c r="L135" s="28"/>
      <c r="M135" s="29"/>
      <c r="N135" s="29"/>
      <c r="O135" s="29"/>
      <c r="P135" s="28"/>
      <c r="Q135" s="30"/>
      <c r="R135" s="31"/>
      <c r="S135" s="31"/>
      <c r="T135" s="31"/>
      <c r="U135" s="30"/>
    </row>
    <row r="136" spans="1:21" s="25" customFormat="1" ht="15.6">
      <c r="A136" s="30">
        <v>32</v>
      </c>
      <c r="B136" s="469" t="s">
        <v>283</v>
      </c>
      <c r="C136" s="32">
        <f t="shared" si="5"/>
        <v>23963.734</v>
      </c>
      <c r="D136" s="33">
        <v>23963.734</v>
      </c>
      <c r="E136" s="28"/>
      <c r="F136" s="28"/>
      <c r="G136" s="28"/>
      <c r="H136" s="28"/>
      <c r="I136" s="28"/>
      <c r="J136" s="28"/>
      <c r="K136" s="29">
        <f t="shared" si="6"/>
        <v>0</v>
      </c>
      <c r="L136" s="28"/>
      <c r="M136" s="29"/>
      <c r="N136" s="29"/>
      <c r="O136" s="29"/>
      <c r="P136" s="28"/>
      <c r="Q136" s="30"/>
      <c r="R136" s="31"/>
      <c r="S136" s="31"/>
      <c r="T136" s="31"/>
      <c r="U136" s="30"/>
    </row>
    <row r="137" spans="1:21" s="25" customFormat="1" ht="15.6">
      <c r="A137" s="30">
        <v>33</v>
      </c>
      <c r="B137" s="469" t="s">
        <v>284</v>
      </c>
      <c r="C137" s="32">
        <f t="shared" si="5"/>
        <v>3371.567</v>
      </c>
      <c r="D137" s="33">
        <v>3371.567</v>
      </c>
      <c r="E137" s="28"/>
      <c r="F137" s="28"/>
      <c r="G137" s="28"/>
      <c r="H137" s="28"/>
      <c r="I137" s="28"/>
      <c r="J137" s="28"/>
      <c r="K137" s="29">
        <f t="shared" si="6"/>
        <v>0</v>
      </c>
      <c r="L137" s="28"/>
      <c r="M137" s="29"/>
      <c r="N137" s="29"/>
      <c r="O137" s="29"/>
      <c r="P137" s="28"/>
      <c r="Q137" s="30"/>
      <c r="R137" s="31"/>
      <c r="S137" s="31"/>
      <c r="T137" s="31"/>
      <c r="U137" s="30"/>
    </row>
    <row r="138" spans="1:21" s="25" customFormat="1" ht="15.6">
      <c r="A138" s="37">
        <v>34</v>
      </c>
      <c r="B138" s="470" t="s">
        <v>397</v>
      </c>
      <c r="C138" s="36">
        <f t="shared" si="5"/>
        <v>11018.074000000001</v>
      </c>
      <c r="D138" s="165">
        <v>11018.074000000001</v>
      </c>
      <c r="E138" s="35"/>
      <c r="F138" s="35"/>
      <c r="G138" s="35"/>
      <c r="H138" s="35"/>
      <c r="I138" s="35"/>
      <c r="J138" s="35"/>
      <c r="K138" s="43">
        <f>SUM(L138:P138)</f>
        <v>0</v>
      </c>
      <c r="L138" s="35"/>
      <c r="M138" s="43"/>
      <c r="N138" s="43"/>
      <c r="O138" s="43"/>
      <c r="P138" s="35"/>
      <c r="Q138" s="37"/>
      <c r="R138" s="44"/>
      <c r="S138" s="44"/>
      <c r="T138" s="44"/>
      <c r="U138" s="30"/>
    </row>
    <row r="139" spans="1:21" s="25" customFormat="1" ht="15.6">
      <c r="A139" s="38"/>
      <c r="B139" s="472" t="s">
        <v>398</v>
      </c>
      <c r="C139" s="50">
        <f t="shared" si="5"/>
        <v>9618</v>
      </c>
      <c r="D139" s="473">
        <f>SUM(D140:D142)</f>
        <v>9618</v>
      </c>
      <c r="E139" s="51"/>
      <c r="F139" s="51"/>
      <c r="G139" s="51"/>
      <c r="H139" s="51"/>
      <c r="I139" s="51"/>
      <c r="J139" s="51"/>
      <c r="K139" s="163">
        <f t="shared" si="6"/>
        <v>0</v>
      </c>
      <c r="L139" s="51"/>
      <c r="M139" s="163"/>
      <c r="N139" s="163"/>
      <c r="O139" s="163"/>
      <c r="P139" s="51"/>
      <c r="Q139" s="38"/>
      <c r="R139" s="164"/>
      <c r="S139" s="164"/>
      <c r="T139" s="164"/>
      <c r="U139" s="30"/>
    </row>
    <row r="140" spans="1:21" s="25" customFormat="1" ht="15.6">
      <c r="A140" s="23">
        <v>1</v>
      </c>
      <c r="B140" s="474" t="s">
        <v>400</v>
      </c>
      <c r="C140" s="26">
        <f t="shared" si="5"/>
        <v>136</v>
      </c>
      <c r="D140" s="42">
        <v>136</v>
      </c>
      <c r="E140" s="42"/>
      <c r="F140" s="42"/>
      <c r="G140" s="42"/>
      <c r="H140" s="42"/>
      <c r="I140" s="42"/>
      <c r="J140" s="42"/>
      <c r="K140" s="48">
        <f t="shared" si="6"/>
        <v>0</v>
      </c>
      <c r="L140" s="42"/>
      <c r="M140" s="48"/>
      <c r="N140" s="48"/>
      <c r="O140" s="48"/>
      <c r="P140" s="42"/>
      <c r="Q140" s="23"/>
      <c r="R140" s="49"/>
      <c r="S140" s="49"/>
      <c r="T140" s="49"/>
      <c r="U140" s="30"/>
    </row>
    <row r="141" spans="1:21" s="25" customFormat="1" ht="15.6">
      <c r="A141" s="23">
        <v>2</v>
      </c>
      <c r="B141" s="474" t="s">
        <v>399</v>
      </c>
      <c r="C141" s="32">
        <f t="shared" si="5"/>
        <v>3400</v>
      </c>
      <c r="D141" s="28">
        <v>3400</v>
      </c>
      <c r="E141" s="28">
        <f t="shared" ref="E141:P141" si="7">SUM(E142:E143)</f>
        <v>0</v>
      </c>
      <c r="F141" s="28">
        <f t="shared" si="7"/>
        <v>0</v>
      </c>
      <c r="G141" s="28">
        <f t="shared" si="7"/>
        <v>0</v>
      </c>
      <c r="H141" s="28">
        <f t="shared" si="7"/>
        <v>0</v>
      </c>
      <c r="I141" s="28">
        <f t="shared" si="7"/>
        <v>0</v>
      </c>
      <c r="J141" s="28">
        <f t="shared" si="7"/>
        <v>0</v>
      </c>
      <c r="K141" s="28">
        <f>SUM(K142:K143)</f>
        <v>0</v>
      </c>
      <c r="L141" s="28">
        <f t="shared" si="7"/>
        <v>0</v>
      </c>
      <c r="M141" s="28">
        <f>SUM(M142:M143)</f>
        <v>0</v>
      </c>
      <c r="N141" s="28">
        <f>SUM(N142:N143)</f>
        <v>0</v>
      </c>
      <c r="O141" s="28"/>
      <c r="P141" s="28">
        <f t="shared" si="7"/>
        <v>0</v>
      </c>
      <c r="Q141" s="28">
        <f>SUM(Q142:Q143)</f>
        <v>0</v>
      </c>
      <c r="R141" s="31">
        <f>SUM(R142:R143)</f>
        <v>0</v>
      </c>
      <c r="S141" s="31">
        <f>SUM(S142:S143)</f>
        <v>0</v>
      </c>
      <c r="T141" s="31">
        <f>SUM(T142:T143)</f>
        <v>0</v>
      </c>
      <c r="U141" s="30"/>
    </row>
    <row r="142" spans="1:21" s="25" customFormat="1" ht="15.6">
      <c r="A142" s="37">
        <v>3</v>
      </c>
      <c r="B142" s="470" t="s">
        <v>286</v>
      </c>
      <c r="C142" s="36">
        <f t="shared" si="5"/>
        <v>6082</v>
      </c>
      <c r="D142" s="35">
        <v>6082</v>
      </c>
      <c r="E142" s="35"/>
      <c r="F142" s="35"/>
      <c r="G142" s="35"/>
      <c r="H142" s="35"/>
      <c r="I142" s="35"/>
      <c r="J142" s="35"/>
      <c r="K142" s="35"/>
      <c r="L142" s="35"/>
      <c r="M142" s="43"/>
      <c r="N142" s="43"/>
      <c r="O142" s="43"/>
      <c r="P142" s="35"/>
      <c r="Q142" s="37"/>
      <c r="R142" s="44"/>
      <c r="S142" s="44"/>
      <c r="T142" s="44"/>
      <c r="U142" s="30"/>
    </row>
    <row r="143" spans="1:21" s="25" customFormat="1" ht="15.6">
      <c r="A143" s="38"/>
      <c r="B143" s="475" t="s">
        <v>401</v>
      </c>
      <c r="C143" s="50">
        <f t="shared" si="5"/>
        <v>10000</v>
      </c>
      <c r="D143" s="50">
        <v>10000</v>
      </c>
      <c r="E143" s="51"/>
      <c r="F143" s="51"/>
      <c r="G143" s="51"/>
      <c r="H143" s="51"/>
      <c r="I143" s="51"/>
      <c r="J143" s="51"/>
      <c r="K143" s="51"/>
      <c r="L143" s="51"/>
      <c r="M143" s="163"/>
      <c r="N143" s="163"/>
      <c r="O143" s="163"/>
      <c r="P143" s="51"/>
      <c r="Q143" s="38"/>
      <c r="R143" s="164"/>
      <c r="S143" s="164"/>
      <c r="T143" s="164"/>
      <c r="U143" s="30"/>
    </row>
    <row r="144" spans="1:21" s="25" customFormat="1" ht="31.2">
      <c r="A144" s="38"/>
      <c r="B144" s="472" t="s">
        <v>429</v>
      </c>
      <c r="C144" s="50">
        <f t="shared" si="5"/>
        <v>51574</v>
      </c>
      <c r="D144" s="50">
        <v>51574</v>
      </c>
      <c r="E144" s="51"/>
      <c r="F144" s="51"/>
      <c r="G144" s="51"/>
      <c r="H144" s="51"/>
      <c r="I144" s="51"/>
      <c r="J144" s="51"/>
      <c r="K144" s="51"/>
      <c r="L144" s="51"/>
      <c r="M144" s="163"/>
      <c r="N144" s="163"/>
      <c r="O144" s="163"/>
      <c r="P144" s="51"/>
      <c r="Q144" s="38"/>
      <c r="R144" s="164"/>
      <c r="S144" s="164"/>
      <c r="T144" s="164"/>
      <c r="U144" s="30"/>
    </row>
    <row r="145" spans="1:61" s="25" customFormat="1" ht="31.2">
      <c r="A145" s="38"/>
      <c r="B145" s="472" t="s">
        <v>529</v>
      </c>
      <c r="C145" s="50">
        <f t="shared" si="5"/>
        <v>11951</v>
      </c>
      <c r="D145" s="50">
        <v>11951</v>
      </c>
      <c r="E145" s="51"/>
      <c r="F145" s="51"/>
      <c r="G145" s="51"/>
      <c r="H145" s="51"/>
      <c r="I145" s="51"/>
      <c r="J145" s="51"/>
      <c r="K145" s="51"/>
      <c r="L145" s="51"/>
      <c r="M145" s="163"/>
      <c r="N145" s="163"/>
      <c r="O145" s="163"/>
      <c r="P145" s="51"/>
      <c r="Q145" s="38"/>
      <c r="R145" s="164"/>
      <c r="S145" s="164"/>
      <c r="T145" s="164"/>
      <c r="U145" s="30"/>
    </row>
    <row r="146" spans="1:61" s="25" customFormat="1" ht="12.75" customHeight="1">
      <c r="A146" s="60"/>
      <c r="B146" s="476"/>
      <c r="C146" s="166">
        <f t="shared" si="5"/>
        <v>0</v>
      </c>
      <c r="D146" s="166"/>
      <c r="E146" s="167"/>
      <c r="F146" s="167"/>
      <c r="G146" s="167"/>
      <c r="H146" s="167"/>
      <c r="I146" s="167"/>
      <c r="J146" s="167"/>
      <c r="K146" s="167"/>
      <c r="L146" s="167"/>
      <c r="M146" s="168"/>
      <c r="N146" s="168"/>
      <c r="O146" s="168"/>
      <c r="P146" s="167"/>
      <c r="Q146" s="60"/>
      <c r="R146" s="169"/>
      <c r="S146" s="169"/>
      <c r="T146" s="169"/>
      <c r="U146" s="30"/>
    </row>
    <row r="147" spans="1:61" s="173" customFormat="1" ht="19.8">
      <c r="A147" s="170" t="s">
        <v>11</v>
      </c>
      <c r="B147" s="171" t="s">
        <v>391</v>
      </c>
      <c r="C147" s="62">
        <f t="shared" ref="C147:T147" si="8">C148+C167+C172</f>
        <v>881826</v>
      </c>
      <c r="D147" s="62">
        <f t="shared" si="8"/>
        <v>9130</v>
      </c>
      <c r="E147" s="62">
        <f t="shared" si="8"/>
        <v>0</v>
      </c>
      <c r="F147" s="62">
        <f t="shared" si="8"/>
        <v>16225</v>
      </c>
      <c r="G147" s="62">
        <f t="shared" si="8"/>
        <v>18770</v>
      </c>
      <c r="H147" s="62">
        <f t="shared" si="8"/>
        <v>0</v>
      </c>
      <c r="I147" s="62">
        <f t="shared" si="8"/>
        <v>0</v>
      </c>
      <c r="J147" s="62">
        <f t="shared" si="8"/>
        <v>335205</v>
      </c>
      <c r="K147" s="62">
        <f t="shared" si="8"/>
        <v>221289</v>
      </c>
      <c r="L147" s="244">
        <f t="shared" si="8"/>
        <v>66849</v>
      </c>
      <c r="M147" s="244">
        <f t="shared" si="8"/>
        <v>2816</v>
      </c>
      <c r="N147" s="244">
        <f t="shared" si="8"/>
        <v>147589</v>
      </c>
      <c r="O147" s="244">
        <f t="shared" si="8"/>
        <v>220</v>
      </c>
      <c r="P147" s="244">
        <f t="shared" si="8"/>
        <v>1815</v>
      </c>
      <c r="Q147" s="62">
        <f t="shared" si="8"/>
        <v>98483</v>
      </c>
      <c r="R147" s="62">
        <f t="shared" si="8"/>
        <v>182724</v>
      </c>
      <c r="S147" s="62">
        <f t="shared" si="8"/>
        <v>0</v>
      </c>
      <c r="T147" s="62">
        <f t="shared" si="8"/>
        <v>0</v>
      </c>
      <c r="U147" s="172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</row>
    <row r="148" spans="1:61" s="25" customFormat="1" ht="19.2">
      <c r="A148" s="20">
        <v>1</v>
      </c>
      <c r="B148" s="39" t="s">
        <v>392</v>
      </c>
      <c r="C148" s="22">
        <f t="shared" ref="C148:T148" si="9">SUM(C149:C166)</f>
        <v>842457</v>
      </c>
      <c r="D148" s="22">
        <f t="shared" si="9"/>
        <v>9130</v>
      </c>
      <c r="E148" s="22">
        <f t="shared" si="9"/>
        <v>0</v>
      </c>
      <c r="F148" s="22">
        <f t="shared" si="9"/>
        <v>16225</v>
      </c>
      <c r="G148" s="22">
        <f t="shared" si="9"/>
        <v>18770</v>
      </c>
      <c r="H148" s="22">
        <f t="shared" si="9"/>
        <v>0</v>
      </c>
      <c r="I148" s="22">
        <f t="shared" si="9"/>
        <v>0</v>
      </c>
      <c r="J148" s="22">
        <f t="shared" si="9"/>
        <v>335205</v>
      </c>
      <c r="K148" s="22">
        <f t="shared" si="9"/>
        <v>221289</v>
      </c>
      <c r="L148" s="22">
        <f t="shared" si="9"/>
        <v>66849</v>
      </c>
      <c r="M148" s="22">
        <f t="shared" si="9"/>
        <v>2816</v>
      </c>
      <c r="N148" s="22">
        <f t="shared" si="9"/>
        <v>147589</v>
      </c>
      <c r="O148" s="22">
        <f t="shared" si="9"/>
        <v>220</v>
      </c>
      <c r="P148" s="22">
        <f t="shared" si="9"/>
        <v>1815</v>
      </c>
      <c r="Q148" s="22">
        <f t="shared" si="9"/>
        <v>59114</v>
      </c>
      <c r="R148" s="22">
        <f t="shared" si="9"/>
        <v>182724</v>
      </c>
      <c r="S148" s="22">
        <f t="shared" si="9"/>
        <v>0</v>
      </c>
      <c r="T148" s="22">
        <f t="shared" si="9"/>
        <v>0</v>
      </c>
      <c r="U148" s="30"/>
      <c r="V148" s="24"/>
      <c r="W148" s="41"/>
    </row>
    <row r="149" spans="1:61" s="25" customFormat="1" ht="15.6">
      <c r="A149" s="23">
        <v>1</v>
      </c>
      <c r="B149" s="23" t="s">
        <v>288</v>
      </c>
      <c r="C149" s="26">
        <f>SUM(D149:K149)+SUM(Q149:T149)</f>
        <v>12384</v>
      </c>
      <c r="D149" s="42"/>
      <c r="E149" s="42"/>
      <c r="F149" s="42"/>
      <c r="G149" s="42"/>
      <c r="H149" s="42"/>
      <c r="I149" s="42"/>
      <c r="J149" s="42"/>
      <c r="K149" s="48"/>
      <c r="L149" s="42"/>
      <c r="M149" s="48"/>
      <c r="N149" s="48"/>
      <c r="O149" s="48"/>
      <c r="P149" s="42"/>
      <c r="Q149" s="49">
        <f>7384+5000</f>
        <v>12384</v>
      </c>
      <c r="R149" s="49"/>
      <c r="S149" s="49"/>
      <c r="T149" s="49">
        <v>0</v>
      </c>
      <c r="U149" s="30"/>
      <c r="V149" s="24"/>
      <c r="W149" s="41"/>
    </row>
    <row r="150" spans="1:61" s="25" customFormat="1" ht="15.6" hidden="1">
      <c r="A150" s="30"/>
      <c r="B150" s="59" t="s">
        <v>289</v>
      </c>
      <c r="C150" s="32">
        <f t="shared" ref="C150:C199" si="10">SUM(D150:K150)+SUM(Q150:T150)</f>
        <v>0</v>
      </c>
      <c r="D150" s="28"/>
      <c r="E150" s="28"/>
      <c r="F150" s="28"/>
      <c r="G150" s="28"/>
      <c r="H150" s="28"/>
      <c r="I150" s="28"/>
      <c r="J150" s="28"/>
      <c r="K150" s="48"/>
      <c r="L150" s="28"/>
      <c r="M150" s="29"/>
      <c r="N150" s="29"/>
      <c r="O150" s="29"/>
      <c r="P150" s="28"/>
      <c r="Q150" s="31"/>
      <c r="R150" s="31"/>
      <c r="S150" s="31"/>
      <c r="T150" s="31"/>
      <c r="U150" s="30"/>
    </row>
    <row r="151" spans="1:61" s="25" customFormat="1" ht="15.6" hidden="1">
      <c r="A151" s="30"/>
      <c r="B151" s="59" t="s">
        <v>347</v>
      </c>
      <c r="C151" s="32">
        <f t="shared" si="10"/>
        <v>0</v>
      </c>
      <c r="D151" s="28"/>
      <c r="E151" s="28"/>
      <c r="F151" s="28"/>
      <c r="G151" s="28"/>
      <c r="H151" s="28"/>
      <c r="I151" s="28"/>
      <c r="J151" s="28"/>
      <c r="K151" s="48"/>
      <c r="L151" s="28"/>
      <c r="M151" s="29"/>
      <c r="N151" s="29"/>
      <c r="O151" s="29"/>
      <c r="P151" s="28"/>
      <c r="Q151" s="31"/>
      <c r="R151" s="31"/>
      <c r="S151" s="31"/>
      <c r="T151" s="31"/>
      <c r="U151" s="30"/>
    </row>
    <row r="152" spans="1:61" s="25" customFormat="1" ht="15.6" hidden="1">
      <c r="A152" s="30"/>
      <c r="B152" s="59" t="s">
        <v>290</v>
      </c>
      <c r="C152" s="32">
        <f t="shared" si="10"/>
        <v>0</v>
      </c>
      <c r="D152" s="28"/>
      <c r="E152" s="28"/>
      <c r="F152" s="28"/>
      <c r="G152" s="28"/>
      <c r="H152" s="28"/>
      <c r="I152" s="28"/>
      <c r="J152" s="28"/>
      <c r="K152" s="48"/>
      <c r="L152" s="28"/>
      <c r="M152" s="29"/>
      <c r="N152" s="29"/>
      <c r="O152" s="29"/>
      <c r="P152" s="28"/>
      <c r="Q152" s="31"/>
      <c r="R152" s="31"/>
      <c r="S152" s="31"/>
      <c r="T152" s="31"/>
      <c r="U152" s="30"/>
    </row>
    <row r="153" spans="1:61" s="25" customFormat="1" ht="15.6" hidden="1">
      <c r="A153" s="30"/>
      <c r="B153" s="59" t="s">
        <v>403</v>
      </c>
      <c r="C153" s="32">
        <f t="shared" si="10"/>
        <v>0</v>
      </c>
      <c r="D153" s="28"/>
      <c r="E153" s="28"/>
      <c r="F153" s="28"/>
      <c r="G153" s="28"/>
      <c r="H153" s="28"/>
      <c r="I153" s="28"/>
      <c r="J153" s="28"/>
      <c r="K153" s="48"/>
      <c r="L153" s="28"/>
      <c r="M153" s="29"/>
      <c r="N153" s="29"/>
      <c r="O153" s="29"/>
      <c r="P153" s="28"/>
      <c r="Q153" s="31"/>
      <c r="R153" s="31"/>
      <c r="S153" s="31"/>
      <c r="T153" s="31"/>
      <c r="U153" s="30"/>
    </row>
    <row r="154" spans="1:61" s="25" customFormat="1" ht="15.6">
      <c r="A154" s="30">
        <f>A149+1</f>
        <v>2</v>
      </c>
      <c r="B154" s="30" t="s">
        <v>291</v>
      </c>
      <c r="C154" s="32">
        <f t="shared" si="10"/>
        <v>4798</v>
      </c>
      <c r="D154" s="28"/>
      <c r="E154" s="28"/>
      <c r="F154" s="28"/>
      <c r="G154" s="28"/>
      <c r="H154" s="28"/>
      <c r="I154" s="28"/>
      <c r="J154" s="28"/>
      <c r="K154" s="48">
        <f>983+540+292+220</f>
        <v>2035</v>
      </c>
      <c r="L154" s="28"/>
      <c r="M154" s="29"/>
      <c r="N154" s="29"/>
      <c r="O154" s="29">
        <v>220</v>
      </c>
      <c r="P154" s="28">
        <f>983+540+292</f>
        <v>1815</v>
      </c>
      <c r="Q154" s="31">
        <f>2763</f>
        <v>2763</v>
      </c>
      <c r="R154" s="31"/>
      <c r="S154" s="31"/>
      <c r="T154" s="31"/>
      <c r="U154" s="30"/>
      <c r="V154" s="174"/>
    </row>
    <row r="155" spans="1:61" s="25" customFormat="1" ht="15.6">
      <c r="A155" s="30">
        <f t="shared" ref="A155:A164" si="11">A154+1</f>
        <v>3</v>
      </c>
      <c r="B155" s="30" t="s">
        <v>131</v>
      </c>
      <c r="C155" s="32">
        <f t="shared" si="10"/>
        <v>2209</v>
      </c>
      <c r="D155" s="28"/>
      <c r="E155" s="28"/>
      <c r="F155" s="28"/>
      <c r="G155" s="28"/>
      <c r="H155" s="28"/>
      <c r="I155" s="28"/>
      <c r="J155" s="28"/>
      <c r="K155" s="48"/>
      <c r="L155" s="28"/>
      <c r="M155" s="29"/>
      <c r="N155" s="29"/>
      <c r="O155" s="29"/>
      <c r="P155" s="28"/>
      <c r="Q155" s="31">
        <f>1799+410</f>
        <v>2209</v>
      </c>
      <c r="R155" s="31"/>
      <c r="S155" s="31"/>
      <c r="T155" s="31"/>
      <c r="U155" s="30"/>
    </row>
    <row r="156" spans="1:61" s="25" customFormat="1" ht="15.6">
      <c r="A156" s="30">
        <f t="shared" si="11"/>
        <v>4</v>
      </c>
      <c r="B156" s="30" t="s">
        <v>292</v>
      </c>
      <c r="C156" s="32">
        <f t="shared" si="10"/>
        <v>6191</v>
      </c>
      <c r="D156" s="28"/>
      <c r="E156" s="28"/>
      <c r="F156" s="28"/>
      <c r="G156" s="28"/>
      <c r="H156" s="28"/>
      <c r="I156" s="28"/>
      <c r="J156" s="28"/>
      <c r="K156" s="48"/>
      <c r="L156" s="28"/>
      <c r="M156" s="29"/>
      <c r="N156" s="29"/>
      <c r="O156" s="29"/>
      <c r="P156" s="28"/>
      <c r="Q156" s="31">
        <f>4401+1790</f>
        <v>6191</v>
      </c>
      <c r="R156" s="31"/>
      <c r="S156" s="31"/>
      <c r="T156" s="31"/>
      <c r="U156" s="30"/>
    </row>
    <row r="157" spans="1:61" s="25" customFormat="1" ht="15.6">
      <c r="A157" s="30">
        <f t="shared" si="11"/>
        <v>5</v>
      </c>
      <c r="B157" s="30" t="s">
        <v>293</v>
      </c>
      <c r="C157" s="32">
        <f t="shared" si="10"/>
        <v>296806</v>
      </c>
      <c r="D157" s="28"/>
      <c r="E157" s="28"/>
      <c r="F157" s="28"/>
      <c r="G157" s="28"/>
      <c r="H157" s="28"/>
      <c r="I157" s="28"/>
      <c r="J157" s="28">
        <f>44374+33695</f>
        <v>78069</v>
      </c>
      <c r="K157" s="48">
        <f>66849+147589</f>
        <v>214438</v>
      </c>
      <c r="L157" s="28">
        <v>66849</v>
      </c>
      <c r="M157" s="29"/>
      <c r="N157" s="29">
        <v>147589</v>
      </c>
      <c r="O157" s="29"/>
      <c r="P157" s="28"/>
      <c r="Q157" s="31">
        <f>4204+95</f>
        <v>4299</v>
      </c>
      <c r="R157" s="31"/>
      <c r="S157" s="31"/>
      <c r="T157" s="31"/>
      <c r="U157" s="30"/>
    </row>
    <row r="158" spans="1:61" s="25" customFormat="1" ht="15.6">
      <c r="A158" s="30">
        <f t="shared" si="11"/>
        <v>6</v>
      </c>
      <c r="B158" s="30" t="s">
        <v>294</v>
      </c>
      <c r="C158" s="32">
        <f t="shared" si="10"/>
        <v>4722</v>
      </c>
      <c r="D158" s="28"/>
      <c r="E158" s="28"/>
      <c r="F158" s="28"/>
      <c r="G158" s="28"/>
      <c r="H158" s="28"/>
      <c r="I158" s="28"/>
      <c r="J158" s="28"/>
      <c r="K158" s="48"/>
      <c r="L158" s="28"/>
      <c r="M158" s="29"/>
      <c r="N158" s="29"/>
      <c r="O158" s="29"/>
      <c r="P158" s="28"/>
      <c r="Q158" s="477">
        <f>4722</f>
        <v>4722</v>
      </c>
      <c r="R158" s="29"/>
      <c r="S158" s="29"/>
      <c r="T158" s="29"/>
      <c r="U158" s="30"/>
    </row>
    <row r="159" spans="1:61" s="25" customFormat="1" ht="22.5" customHeight="1">
      <c r="A159" s="30">
        <f t="shared" si="11"/>
        <v>7</v>
      </c>
      <c r="B159" s="30" t="s">
        <v>295</v>
      </c>
      <c r="C159" s="32">
        <f t="shared" si="10"/>
        <v>2036</v>
      </c>
      <c r="D159" s="28"/>
      <c r="E159" s="28"/>
      <c r="F159" s="28"/>
      <c r="G159" s="28"/>
      <c r="H159" s="28"/>
      <c r="I159" s="28"/>
      <c r="J159" s="28"/>
      <c r="K159" s="48"/>
      <c r="L159" s="28"/>
      <c r="M159" s="29"/>
      <c r="N159" s="29"/>
      <c r="O159" s="29"/>
      <c r="P159" s="28"/>
      <c r="Q159" s="257">
        <f>1246+790</f>
        <v>2036</v>
      </c>
      <c r="R159" s="29"/>
      <c r="S159" s="29"/>
      <c r="T159" s="175"/>
      <c r="U159" s="30"/>
    </row>
    <row r="160" spans="1:61" s="25" customFormat="1" ht="17.25" customHeight="1">
      <c r="A160" s="30">
        <f t="shared" si="11"/>
        <v>8</v>
      </c>
      <c r="B160" s="30" t="s">
        <v>296</v>
      </c>
      <c r="C160" s="32">
        <f t="shared" si="10"/>
        <v>209951</v>
      </c>
      <c r="D160" s="28">
        <v>8835</v>
      </c>
      <c r="E160" s="28"/>
      <c r="F160" s="28">
        <v>16025</v>
      </c>
      <c r="G160" s="28"/>
      <c r="H160" s="28"/>
      <c r="I160" s="28"/>
      <c r="J160" s="28"/>
      <c r="K160" s="48"/>
      <c r="L160" s="28"/>
      <c r="M160" s="29"/>
      <c r="N160" s="29"/>
      <c r="O160" s="29"/>
      <c r="P160" s="28"/>
      <c r="Q160" s="477">
        <f>2237+130</f>
        <v>2367</v>
      </c>
      <c r="R160" s="31">
        <v>182724</v>
      </c>
      <c r="S160" s="31"/>
      <c r="T160" s="31"/>
      <c r="U160" s="30"/>
    </row>
    <row r="161" spans="1:22" s="25" customFormat="1" ht="15.6" hidden="1">
      <c r="A161" s="30"/>
      <c r="B161" s="30" t="s">
        <v>297</v>
      </c>
      <c r="C161" s="32">
        <f>SUM(D161:K161)+SUM(Q161:T161)</f>
        <v>0</v>
      </c>
      <c r="D161" s="28"/>
      <c r="E161" s="28"/>
      <c r="F161" s="28"/>
      <c r="G161" s="28"/>
      <c r="H161" s="28"/>
      <c r="I161" s="28"/>
      <c r="J161" s="28"/>
      <c r="K161" s="48"/>
      <c r="L161" s="28"/>
      <c r="M161" s="29"/>
      <c r="N161" s="29"/>
      <c r="O161" s="29"/>
      <c r="P161" s="28"/>
      <c r="Q161" s="477"/>
      <c r="R161" s="31"/>
      <c r="S161" s="31"/>
      <c r="T161" s="31"/>
      <c r="U161" s="30"/>
    </row>
    <row r="162" spans="1:22" s="25" customFormat="1" ht="15.6">
      <c r="A162" s="30">
        <f>A160+1</f>
        <v>9</v>
      </c>
      <c r="B162" s="30" t="s">
        <v>298</v>
      </c>
      <c r="C162" s="32">
        <f t="shared" si="10"/>
        <v>23522</v>
      </c>
      <c r="D162" s="28"/>
      <c r="E162" s="28"/>
      <c r="F162" s="28">
        <v>200</v>
      </c>
      <c r="G162" s="28">
        <f>1800+14790+2180</f>
        <v>18770</v>
      </c>
      <c r="H162" s="28"/>
      <c r="I162" s="28"/>
      <c r="J162" s="28"/>
      <c r="K162" s="48">
        <v>2000</v>
      </c>
      <c r="L162" s="28"/>
      <c r="M162" s="29"/>
      <c r="N162" s="29"/>
      <c r="O162" s="29"/>
      <c r="P162" s="28"/>
      <c r="Q162" s="477">
        <f>2352+200</f>
        <v>2552</v>
      </c>
      <c r="R162" s="31"/>
      <c r="S162" s="31"/>
      <c r="T162" s="31"/>
      <c r="U162" s="30"/>
    </row>
    <row r="163" spans="1:22" s="25" customFormat="1" ht="15.6">
      <c r="A163" s="30">
        <f t="shared" si="11"/>
        <v>10</v>
      </c>
      <c r="B163" s="30" t="s">
        <v>299</v>
      </c>
      <c r="C163" s="32">
        <f t="shared" si="10"/>
        <v>263933</v>
      </c>
      <c r="D163" s="28"/>
      <c r="E163" s="28"/>
      <c r="F163" s="28"/>
      <c r="G163" s="28"/>
      <c r="H163" s="28"/>
      <c r="I163" s="28"/>
      <c r="J163" s="28">
        <v>257136</v>
      </c>
      <c r="K163" s="48">
        <f>2816</f>
        <v>2816</v>
      </c>
      <c r="L163" s="28"/>
      <c r="M163" s="29">
        <v>2816</v>
      </c>
      <c r="N163" s="29"/>
      <c r="O163" s="29"/>
      <c r="P163" s="28"/>
      <c r="Q163" s="477">
        <f>3724+257</f>
        <v>3981</v>
      </c>
      <c r="R163" s="31"/>
      <c r="S163" s="31"/>
      <c r="T163" s="31"/>
      <c r="U163" s="30"/>
    </row>
    <row r="164" spans="1:22" s="25" customFormat="1" ht="15.6">
      <c r="A164" s="30">
        <f t="shared" si="11"/>
        <v>11</v>
      </c>
      <c r="B164" s="30" t="s">
        <v>300</v>
      </c>
      <c r="C164" s="32">
        <f t="shared" si="10"/>
        <v>13292</v>
      </c>
      <c r="D164" s="28">
        <v>295</v>
      </c>
      <c r="E164" s="28"/>
      <c r="F164" s="28"/>
      <c r="G164" s="28"/>
      <c r="H164" s="28"/>
      <c r="I164" s="28"/>
      <c r="J164" s="28"/>
      <c r="K164" s="29"/>
      <c r="L164" s="28"/>
      <c r="M164" s="29"/>
      <c r="N164" s="29"/>
      <c r="O164" s="29"/>
      <c r="P164" s="28"/>
      <c r="Q164" s="477">
        <f>2935+10062</f>
        <v>12997</v>
      </c>
      <c r="R164" s="31"/>
      <c r="S164" s="31"/>
      <c r="T164" s="31"/>
      <c r="U164" s="30"/>
    </row>
    <row r="165" spans="1:22" s="25" customFormat="1" ht="15.6" hidden="1">
      <c r="A165" s="30"/>
      <c r="B165" s="30" t="s">
        <v>348</v>
      </c>
      <c r="C165" s="32">
        <f t="shared" si="10"/>
        <v>0</v>
      </c>
      <c r="D165" s="28"/>
      <c r="E165" s="28"/>
      <c r="F165" s="28"/>
      <c r="G165" s="28"/>
      <c r="H165" s="28"/>
      <c r="I165" s="28"/>
      <c r="J165" s="28"/>
      <c r="K165" s="29"/>
      <c r="L165" s="28"/>
      <c r="M165" s="29"/>
      <c r="N165" s="29"/>
      <c r="O165" s="29"/>
      <c r="P165" s="28"/>
      <c r="Q165" s="477"/>
      <c r="R165" s="31"/>
      <c r="S165" s="31"/>
      <c r="T165" s="31"/>
      <c r="U165" s="30"/>
    </row>
    <row r="166" spans="1:22" s="25" customFormat="1" ht="15.6">
      <c r="A166" s="30">
        <f>A164+1</f>
        <v>12</v>
      </c>
      <c r="B166" s="30" t="s">
        <v>301</v>
      </c>
      <c r="C166" s="32">
        <f t="shared" si="10"/>
        <v>2613</v>
      </c>
      <c r="D166" s="28"/>
      <c r="E166" s="28"/>
      <c r="F166" s="28"/>
      <c r="G166" s="28"/>
      <c r="H166" s="28"/>
      <c r="I166" s="28"/>
      <c r="J166" s="28"/>
      <c r="K166" s="29"/>
      <c r="L166" s="28"/>
      <c r="M166" s="29"/>
      <c r="N166" s="29"/>
      <c r="O166" s="29"/>
      <c r="P166" s="28"/>
      <c r="Q166" s="477">
        <f>2408+205</f>
        <v>2613</v>
      </c>
      <c r="R166" s="31"/>
      <c r="S166" s="31"/>
      <c r="T166" s="31"/>
      <c r="U166" s="30"/>
    </row>
    <row r="167" spans="1:22" s="25" customFormat="1" ht="19.2">
      <c r="A167" s="20">
        <v>2</v>
      </c>
      <c r="B167" s="39" t="s">
        <v>349</v>
      </c>
      <c r="C167" s="22">
        <f>C168</f>
        <v>26232</v>
      </c>
      <c r="D167" s="22">
        <f t="shared" ref="D167:P167" si="12">SUM(D168:D171)</f>
        <v>0</v>
      </c>
      <c r="E167" s="22">
        <f t="shared" si="12"/>
        <v>0</v>
      </c>
      <c r="F167" s="22">
        <f t="shared" si="12"/>
        <v>0</v>
      </c>
      <c r="G167" s="22">
        <f t="shared" si="12"/>
        <v>0</v>
      </c>
      <c r="H167" s="22">
        <f t="shared" si="12"/>
        <v>0</v>
      </c>
      <c r="I167" s="22">
        <f t="shared" si="12"/>
        <v>0</v>
      </c>
      <c r="J167" s="22">
        <f t="shared" si="12"/>
        <v>0</v>
      </c>
      <c r="K167" s="22">
        <f t="shared" si="12"/>
        <v>0</v>
      </c>
      <c r="L167" s="22">
        <f t="shared" si="12"/>
        <v>0</v>
      </c>
      <c r="M167" s="22">
        <f t="shared" si="12"/>
        <v>0</v>
      </c>
      <c r="N167" s="22">
        <f t="shared" si="12"/>
        <v>0</v>
      </c>
      <c r="O167" s="22">
        <f t="shared" si="12"/>
        <v>0</v>
      </c>
      <c r="P167" s="22">
        <f t="shared" si="12"/>
        <v>0</v>
      </c>
      <c r="Q167" s="22">
        <f>Q168</f>
        <v>26232</v>
      </c>
      <c r="R167" s="22">
        <f>SUM(R168:R171)</f>
        <v>0</v>
      </c>
      <c r="S167" s="22">
        <f>SUM(S168:S171)</f>
        <v>0</v>
      </c>
      <c r="T167" s="22">
        <f>SUM(T168:T171)</f>
        <v>0</v>
      </c>
      <c r="U167" s="30"/>
    </row>
    <row r="168" spans="1:22" s="25" customFormat="1" ht="15.6">
      <c r="A168" s="30"/>
      <c r="B168" s="30" t="s">
        <v>302</v>
      </c>
      <c r="C168" s="32">
        <f>SUM(D168:K168)+SUM(Q168:T168)</f>
        <v>26232</v>
      </c>
      <c r="D168" s="28"/>
      <c r="E168" s="28"/>
      <c r="F168" s="28"/>
      <c r="G168" s="28"/>
      <c r="H168" s="28"/>
      <c r="I168" s="28"/>
      <c r="J168" s="28"/>
      <c r="K168" s="29">
        <f>SUM(L168:P168)</f>
        <v>0</v>
      </c>
      <c r="L168" s="28"/>
      <c r="M168" s="29"/>
      <c r="N168" s="29"/>
      <c r="O168" s="29"/>
      <c r="P168" s="28"/>
      <c r="Q168" s="28">
        <f>Q169+Q170</f>
        <v>26232</v>
      </c>
      <c r="R168" s="31"/>
      <c r="S168" s="31"/>
      <c r="T168" s="31"/>
      <c r="U168" s="30"/>
    </row>
    <row r="169" spans="1:22" s="25" customFormat="1" ht="16.8">
      <c r="A169" s="30"/>
      <c r="B169" s="131" t="s">
        <v>526</v>
      </c>
      <c r="C169" s="32">
        <f>SUM(D169:K169)+SUM(Q169:T169)</f>
        <v>11732</v>
      </c>
      <c r="D169" s="28"/>
      <c r="E169" s="28"/>
      <c r="F169" s="28"/>
      <c r="G169" s="28"/>
      <c r="H169" s="28"/>
      <c r="I169" s="28"/>
      <c r="J169" s="28"/>
      <c r="K169" s="29"/>
      <c r="L169" s="28"/>
      <c r="M169" s="29"/>
      <c r="N169" s="29"/>
      <c r="O169" s="29"/>
      <c r="P169" s="28"/>
      <c r="Q169" s="28">
        <v>11732</v>
      </c>
      <c r="R169" s="31"/>
      <c r="S169" s="31"/>
      <c r="T169" s="31"/>
    </row>
    <row r="170" spans="1:22" s="25" customFormat="1" ht="16.8">
      <c r="A170" s="30"/>
      <c r="B170" s="130" t="s">
        <v>527</v>
      </c>
      <c r="C170" s="32">
        <f>SUM(D170:K170)+SUM(Q170:T170)</f>
        <v>14500</v>
      </c>
      <c r="D170" s="28"/>
      <c r="E170" s="28"/>
      <c r="F170" s="28"/>
      <c r="G170" s="28"/>
      <c r="H170" s="28"/>
      <c r="I170" s="28"/>
      <c r="J170" s="28"/>
      <c r="K170" s="29">
        <f t="shared" ref="K170:K185" si="13">SUM(L170:P170)</f>
        <v>0</v>
      </c>
      <c r="L170" s="28"/>
      <c r="M170" s="29"/>
      <c r="N170" s="29"/>
      <c r="O170" s="29"/>
      <c r="P170" s="28"/>
      <c r="Q170" s="28">
        <v>14500</v>
      </c>
      <c r="R170" s="31"/>
      <c r="S170" s="31"/>
      <c r="T170" s="31"/>
      <c r="U170" s="30"/>
    </row>
    <row r="171" spans="1:22" s="25" customFormat="1" ht="15.6">
      <c r="A171" s="30"/>
      <c r="B171" s="30"/>
      <c r="C171" s="32">
        <f t="shared" si="10"/>
        <v>0</v>
      </c>
      <c r="D171" s="28"/>
      <c r="E171" s="28"/>
      <c r="F171" s="28"/>
      <c r="G171" s="28"/>
      <c r="H171" s="28"/>
      <c r="I171" s="28"/>
      <c r="J171" s="28"/>
      <c r="K171" s="29">
        <f t="shared" si="13"/>
        <v>0</v>
      </c>
      <c r="L171" s="28"/>
      <c r="M171" s="29"/>
      <c r="N171" s="29"/>
      <c r="O171" s="29"/>
      <c r="P171" s="28"/>
      <c r="Q171" s="28"/>
      <c r="R171" s="31"/>
      <c r="S171" s="31"/>
      <c r="T171" s="31"/>
      <c r="U171" s="30"/>
    </row>
    <row r="172" spans="1:22" s="25" customFormat="1" ht="19.2">
      <c r="A172" s="20">
        <v>3</v>
      </c>
      <c r="B172" s="39" t="s">
        <v>393</v>
      </c>
      <c r="C172" s="22">
        <f t="shared" ref="C172:T172" si="14">SUM(C173:C185)</f>
        <v>13137</v>
      </c>
      <c r="D172" s="22">
        <f t="shared" si="14"/>
        <v>0</v>
      </c>
      <c r="E172" s="22">
        <f t="shared" si="14"/>
        <v>0</v>
      </c>
      <c r="F172" s="22">
        <f t="shared" si="14"/>
        <v>0</v>
      </c>
      <c r="G172" s="22">
        <f t="shared" si="14"/>
        <v>0</v>
      </c>
      <c r="H172" s="22">
        <f t="shared" si="14"/>
        <v>0</v>
      </c>
      <c r="I172" s="22">
        <f t="shared" si="14"/>
        <v>0</v>
      </c>
      <c r="J172" s="22">
        <f t="shared" si="14"/>
        <v>0</v>
      </c>
      <c r="K172" s="22">
        <f t="shared" si="14"/>
        <v>0</v>
      </c>
      <c r="L172" s="22">
        <f t="shared" si="14"/>
        <v>0</v>
      </c>
      <c r="M172" s="22">
        <f t="shared" si="14"/>
        <v>0</v>
      </c>
      <c r="N172" s="22">
        <f t="shared" si="14"/>
        <v>0</v>
      </c>
      <c r="O172" s="22">
        <f t="shared" si="14"/>
        <v>0</v>
      </c>
      <c r="P172" s="22">
        <f t="shared" si="14"/>
        <v>0</v>
      </c>
      <c r="Q172" s="22">
        <f t="shared" si="14"/>
        <v>13137</v>
      </c>
      <c r="R172" s="22">
        <f t="shared" si="14"/>
        <v>0</v>
      </c>
      <c r="S172" s="22">
        <f t="shared" si="14"/>
        <v>0</v>
      </c>
      <c r="T172" s="22">
        <f t="shared" si="14"/>
        <v>0</v>
      </c>
      <c r="U172" s="30"/>
      <c r="V172" s="24"/>
    </row>
    <row r="173" spans="1:22" s="25" customFormat="1" ht="16.8">
      <c r="A173" s="30">
        <v>1</v>
      </c>
      <c r="B173" s="110" t="s">
        <v>303</v>
      </c>
      <c r="C173" s="32">
        <f t="shared" si="10"/>
        <v>2164</v>
      </c>
      <c r="D173" s="28"/>
      <c r="E173" s="28"/>
      <c r="F173" s="28"/>
      <c r="G173" s="28"/>
      <c r="H173" s="28"/>
      <c r="I173" s="28"/>
      <c r="J173" s="28"/>
      <c r="K173" s="29">
        <f t="shared" si="13"/>
        <v>0</v>
      </c>
      <c r="L173" s="28"/>
      <c r="M173" s="29"/>
      <c r="N173" s="29"/>
      <c r="O173" s="29"/>
      <c r="P173" s="28"/>
      <c r="Q173" s="28">
        <v>2164</v>
      </c>
      <c r="R173" s="31"/>
      <c r="S173" s="31"/>
      <c r="T173" s="31"/>
      <c r="U173" s="30"/>
    </row>
    <row r="174" spans="1:22" s="25" customFormat="1" ht="16.8">
      <c r="A174" s="30">
        <v>2</v>
      </c>
      <c r="B174" s="65" t="s">
        <v>304</v>
      </c>
      <c r="C174" s="32">
        <f t="shared" si="10"/>
        <v>3263</v>
      </c>
      <c r="D174" s="28"/>
      <c r="E174" s="28"/>
      <c r="F174" s="28"/>
      <c r="G174" s="28"/>
      <c r="H174" s="28"/>
      <c r="I174" s="28"/>
      <c r="J174" s="28"/>
      <c r="K174" s="29">
        <f t="shared" si="13"/>
        <v>0</v>
      </c>
      <c r="L174" s="28"/>
      <c r="M174" s="29"/>
      <c r="N174" s="29"/>
      <c r="O174" s="29"/>
      <c r="P174" s="28"/>
      <c r="Q174" s="28">
        <v>3263</v>
      </c>
      <c r="R174" s="31"/>
      <c r="S174" s="31"/>
      <c r="T174" s="31"/>
      <c r="U174" s="30"/>
    </row>
    <row r="175" spans="1:22" s="25" customFormat="1" ht="16.8" hidden="1">
      <c r="A175" s="30">
        <v>3</v>
      </c>
      <c r="B175" s="110" t="s">
        <v>305</v>
      </c>
      <c r="C175" s="32">
        <f t="shared" si="10"/>
        <v>0</v>
      </c>
      <c r="D175" s="28"/>
      <c r="E175" s="28"/>
      <c r="F175" s="28"/>
      <c r="G175" s="28"/>
      <c r="H175" s="28"/>
      <c r="I175" s="28"/>
      <c r="J175" s="28"/>
      <c r="K175" s="29">
        <f t="shared" si="13"/>
        <v>0</v>
      </c>
      <c r="L175" s="28"/>
      <c r="M175" s="29"/>
      <c r="N175" s="29"/>
      <c r="O175" s="29"/>
      <c r="P175" s="28"/>
      <c r="Q175" s="28"/>
      <c r="R175" s="31"/>
      <c r="S175" s="31"/>
      <c r="T175" s="31"/>
      <c r="U175" s="30"/>
    </row>
    <row r="176" spans="1:22" s="25" customFormat="1" ht="16.8">
      <c r="A176" s="30">
        <v>4</v>
      </c>
      <c r="B176" s="110" t="s">
        <v>306</v>
      </c>
      <c r="C176" s="32">
        <f t="shared" si="10"/>
        <v>2435</v>
      </c>
      <c r="D176" s="28"/>
      <c r="E176" s="28"/>
      <c r="F176" s="28"/>
      <c r="G176" s="28"/>
      <c r="H176" s="28"/>
      <c r="I176" s="28"/>
      <c r="J176" s="28"/>
      <c r="K176" s="29">
        <f t="shared" si="13"/>
        <v>0</v>
      </c>
      <c r="L176" s="28"/>
      <c r="M176" s="29"/>
      <c r="N176" s="29"/>
      <c r="O176" s="29"/>
      <c r="P176" s="28"/>
      <c r="Q176" s="28">
        <v>2435</v>
      </c>
      <c r="R176" s="31"/>
      <c r="S176" s="31"/>
      <c r="T176" s="31"/>
      <c r="U176" s="30"/>
    </row>
    <row r="177" spans="1:23" s="25" customFormat="1" ht="16.8">
      <c r="A177" s="30">
        <v>5</v>
      </c>
      <c r="B177" s="110" t="s">
        <v>307</v>
      </c>
      <c r="C177" s="32">
        <f t="shared" si="10"/>
        <v>907</v>
      </c>
      <c r="D177" s="28"/>
      <c r="E177" s="28"/>
      <c r="F177" s="28"/>
      <c r="G177" s="28"/>
      <c r="H177" s="28"/>
      <c r="I177" s="28"/>
      <c r="J177" s="28"/>
      <c r="K177" s="29">
        <f t="shared" si="13"/>
        <v>0</v>
      </c>
      <c r="L177" s="28"/>
      <c r="M177" s="29"/>
      <c r="N177" s="29"/>
      <c r="O177" s="29"/>
      <c r="P177" s="28"/>
      <c r="Q177" s="28">
        <v>907</v>
      </c>
      <c r="R177" s="31"/>
      <c r="S177" s="31"/>
      <c r="T177" s="31"/>
      <c r="U177" s="30"/>
    </row>
    <row r="178" spans="1:23" s="25" customFormat="1" ht="16.8">
      <c r="A178" s="30">
        <v>6</v>
      </c>
      <c r="B178" s="110" t="s">
        <v>308</v>
      </c>
      <c r="C178" s="32">
        <f>SUM(D178:K178)+SUM(Q178:T178)</f>
        <v>958</v>
      </c>
      <c r="D178" s="28"/>
      <c r="E178" s="28"/>
      <c r="F178" s="28"/>
      <c r="G178" s="28"/>
      <c r="H178" s="28"/>
      <c r="I178" s="28"/>
      <c r="J178" s="28"/>
      <c r="K178" s="29">
        <f t="shared" si="13"/>
        <v>0</v>
      </c>
      <c r="L178" s="28"/>
      <c r="M178" s="29"/>
      <c r="N178" s="29"/>
      <c r="O178" s="29"/>
      <c r="P178" s="28"/>
      <c r="Q178" s="28">
        <v>958</v>
      </c>
      <c r="R178" s="31"/>
      <c r="S178" s="31"/>
      <c r="T178" s="31"/>
      <c r="U178" s="30"/>
    </row>
    <row r="179" spans="1:23" s="25" customFormat="1" ht="16.8">
      <c r="A179" s="30">
        <v>7</v>
      </c>
      <c r="B179" s="110" t="s">
        <v>133</v>
      </c>
      <c r="C179" s="32">
        <f t="shared" si="10"/>
        <v>564</v>
      </c>
      <c r="D179" s="28"/>
      <c r="E179" s="28"/>
      <c r="F179" s="28"/>
      <c r="G179" s="28"/>
      <c r="H179" s="28"/>
      <c r="I179" s="28"/>
      <c r="J179" s="28"/>
      <c r="K179" s="29">
        <f t="shared" si="13"/>
        <v>0</v>
      </c>
      <c r="L179" s="28"/>
      <c r="M179" s="29"/>
      <c r="N179" s="29"/>
      <c r="O179" s="29"/>
      <c r="P179" s="28"/>
      <c r="Q179" s="28">
        <v>564</v>
      </c>
      <c r="R179" s="31"/>
      <c r="S179" s="31"/>
      <c r="T179" s="31"/>
      <c r="U179" s="30"/>
    </row>
    <row r="180" spans="1:23" s="25" customFormat="1" ht="16.8">
      <c r="A180" s="30">
        <v>8</v>
      </c>
      <c r="B180" s="110" t="s">
        <v>309</v>
      </c>
      <c r="C180" s="32">
        <f t="shared" si="10"/>
        <v>876</v>
      </c>
      <c r="D180" s="28"/>
      <c r="E180" s="28"/>
      <c r="F180" s="28"/>
      <c r="G180" s="28"/>
      <c r="H180" s="28"/>
      <c r="I180" s="28"/>
      <c r="J180" s="28"/>
      <c r="K180" s="29">
        <f t="shared" si="13"/>
        <v>0</v>
      </c>
      <c r="L180" s="28"/>
      <c r="M180" s="29"/>
      <c r="N180" s="29"/>
      <c r="O180" s="29"/>
      <c r="P180" s="28"/>
      <c r="Q180" s="28">
        <v>876</v>
      </c>
      <c r="R180" s="31"/>
      <c r="S180" s="31"/>
      <c r="T180" s="31"/>
      <c r="U180" s="30"/>
    </row>
    <row r="181" spans="1:23" s="25" customFormat="1" ht="16.8">
      <c r="A181" s="30">
        <v>9</v>
      </c>
      <c r="B181" s="110" t="s">
        <v>134</v>
      </c>
      <c r="C181" s="32">
        <f t="shared" si="10"/>
        <v>543</v>
      </c>
      <c r="D181" s="28"/>
      <c r="E181" s="28"/>
      <c r="F181" s="28"/>
      <c r="G181" s="28"/>
      <c r="H181" s="28"/>
      <c r="I181" s="28"/>
      <c r="J181" s="28"/>
      <c r="K181" s="29">
        <f t="shared" si="13"/>
        <v>0</v>
      </c>
      <c r="L181" s="28"/>
      <c r="M181" s="29"/>
      <c r="N181" s="29"/>
      <c r="O181" s="29"/>
      <c r="P181" s="28"/>
      <c r="Q181" s="28">
        <v>543</v>
      </c>
      <c r="R181" s="31"/>
      <c r="S181" s="31"/>
      <c r="T181" s="31"/>
      <c r="U181" s="30"/>
    </row>
    <row r="182" spans="1:23" s="25" customFormat="1" ht="16.8">
      <c r="A182" s="30">
        <v>10</v>
      </c>
      <c r="B182" s="110" t="s">
        <v>310</v>
      </c>
      <c r="C182" s="32">
        <f t="shared" si="10"/>
        <v>492</v>
      </c>
      <c r="D182" s="28"/>
      <c r="E182" s="28"/>
      <c r="F182" s="28"/>
      <c r="G182" s="28"/>
      <c r="H182" s="28"/>
      <c r="I182" s="28"/>
      <c r="J182" s="28"/>
      <c r="K182" s="29">
        <f t="shared" si="13"/>
        <v>0</v>
      </c>
      <c r="L182" s="28"/>
      <c r="M182" s="29"/>
      <c r="N182" s="29"/>
      <c r="O182" s="29"/>
      <c r="P182" s="28"/>
      <c r="Q182" s="28">
        <v>492</v>
      </c>
      <c r="R182" s="31"/>
      <c r="S182" s="31"/>
      <c r="T182" s="31"/>
      <c r="U182" s="30"/>
    </row>
    <row r="183" spans="1:23" s="25" customFormat="1" ht="16.8">
      <c r="A183" s="30">
        <v>11</v>
      </c>
      <c r="B183" s="110" t="s">
        <v>132</v>
      </c>
      <c r="C183" s="32">
        <f t="shared" si="10"/>
        <v>406</v>
      </c>
      <c r="D183" s="28"/>
      <c r="E183" s="28"/>
      <c r="F183" s="28"/>
      <c r="G183" s="28"/>
      <c r="H183" s="28"/>
      <c r="I183" s="28"/>
      <c r="J183" s="28"/>
      <c r="K183" s="29">
        <f t="shared" si="13"/>
        <v>0</v>
      </c>
      <c r="L183" s="28"/>
      <c r="M183" s="29"/>
      <c r="N183" s="29"/>
      <c r="O183" s="29"/>
      <c r="P183" s="28"/>
      <c r="Q183" s="28">
        <v>406</v>
      </c>
      <c r="R183" s="31"/>
      <c r="S183" s="31"/>
      <c r="T183" s="31"/>
      <c r="U183" s="30"/>
    </row>
    <row r="184" spans="1:23" s="25" customFormat="1" ht="16.8">
      <c r="A184" s="30">
        <v>12</v>
      </c>
      <c r="B184" s="117" t="s">
        <v>352</v>
      </c>
      <c r="C184" s="32">
        <f t="shared" si="10"/>
        <v>60</v>
      </c>
      <c r="D184" s="28"/>
      <c r="E184" s="28"/>
      <c r="F184" s="28"/>
      <c r="G184" s="28"/>
      <c r="H184" s="28"/>
      <c r="I184" s="28"/>
      <c r="J184" s="28"/>
      <c r="K184" s="29">
        <f t="shared" si="13"/>
        <v>0</v>
      </c>
      <c r="L184" s="28"/>
      <c r="M184" s="29"/>
      <c r="N184" s="29"/>
      <c r="O184" s="29"/>
      <c r="P184" s="28"/>
      <c r="Q184" s="28">
        <v>60</v>
      </c>
      <c r="R184" s="31"/>
      <c r="S184" s="31"/>
      <c r="T184" s="31"/>
      <c r="U184" s="30"/>
    </row>
    <row r="185" spans="1:23" s="25" customFormat="1" ht="16.8">
      <c r="A185" s="30">
        <v>13</v>
      </c>
      <c r="B185" s="110" t="s">
        <v>311</v>
      </c>
      <c r="C185" s="32">
        <f t="shared" si="10"/>
        <v>469</v>
      </c>
      <c r="D185" s="28"/>
      <c r="E185" s="28"/>
      <c r="F185" s="28"/>
      <c r="G185" s="28"/>
      <c r="H185" s="28"/>
      <c r="I185" s="28"/>
      <c r="J185" s="28"/>
      <c r="K185" s="29">
        <f t="shared" si="13"/>
        <v>0</v>
      </c>
      <c r="L185" s="28"/>
      <c r="M185" s="29"/>
      <c r="N185" s="29"/>
      <c r="O185" s="29"/>
      <c r="P185" s="28"/>
      <c r="Q185" s="28">
        <v>469</v>
      </c>
      <c r="R185" s="31"/>
      <c r="S185" s="31"/>
      <c r="T185" s="31"/>
      <c r="U185" s="30"/>
    </row>
    <row r="186" spans="1:23" s="25" customFormat="1" ht="19.2">
      <c r="A186" s="39" t="s">
        <v>15</v>
      </c>
      <c r="B186" s="45" t="s">
        <v>313</v>
      </c>
      <c r="C186" s="22">
        <f>SUM(C187:C188)</f>
        <v>35745</v>
      </c>
      <c r="D186" s="22">
        <f t="shared" ref="D186:N186" si="15">SUM(D187:D188)</f>
        <v>0</v>
      </c>
      <c r="E186" s="22">
        <f t="shared" si="15"/>
        <v>0</v>
      </c>
      <c r="F186" s="22">
        <f t="shared" si="15"/>
        <v>0</v>
      </c>
      <c r="G186" s="22">
        <f t="shared" si="15"/>
        <v>0</v>
      </c>
      <c r="H186" s="22">
        <f t="shared" si="15"/>
        <v>0</v>
      </c>
      <c r="I186" s="22">
        <f t="shared" si="15"/>
        <v>0</v>
      </c>
      <c r="J186" s="22">
        <f t="shared" si="15"/>
        <v>0</v>
      </c>
      <c r="K186" s="22">
        <f t="shared" si="15"/>
        <v>0</v>
      </c>
      <c r="L186" s="22">
        <f t="shared" si="15"/>
        <v>0</v>
      </c>
      <c r="M186" s="22">
        <f t="shared" si="15"/>
        <v>0</v>
      </c>
      <c r="N186" s="22">
        <f t="shared" si="15"/>
        <v>0</v>
      </c>
      <c r="O186" s="22"/>
      <c r="P186" s="22">
        <f>SUM(P187:P188)</f>
        <v>0</v>
      </c>
      <c r="Q186" s="22">
        <f>SUM(Q187:Q188)</f>
        <v>0</v>
      </c>
      <c r="R186" s="46">
        <f>SUM(R187:R188)</f>
        <v>0</v>
      </c>
      <c r="S186" s="47">
        <f>SUM(S187:S188)</f>
        <v>35745</v>
      </c>
      <c r="T186" s="46">
        <f>SUM(T187:T188)</f>
        <v>0</v>
      </c>
      <c r="U186" s="30"/>
      <c r="W186" s="41"/>
    </row>
    <row r="187" spans="1:23" s="25" customFormat="1" ht="15.6">
      <c r="A187" s="23"/>
      <c r="B187" s="23" t="s">
        <v>314</v>
      </c>
      <c r="C187" s="26">
        <f>SUM(D187:K187)+SUM(Q187:T187)</f>
        <v>9000</v>
      </c>
      <c r="D187" s="42"/>
      <c r="E187" s="42"/>
      <c r="F187" s="42"/>
      <c r="G187" s="42"/>
      <c r="H187" s="42"/>
      <c r="I187" s="42"/>
      <c r="J187" s="42"/>
      <c r="K187" s="48">
        <f>SUM(L187:P187)</f>
        <v>0</v>
      </c>
      <c r="L187" s="42"/>
      <c r="M187" s="48"/>
      <c r="N187" s="48"/>
      <c r="O187" s="48"/>
      <c r="P187" s="42"/>
      <c r="Q187" s="23"/>
      <c r="R187" s="49"/>
      <c r="S187" s="42">
        <v>9000</v>
      </c>
      <c r="T187" s="49"/>
      <c r="U187" s="30"/>
    </row>
    <row r="188" spans="1:23" s="25" customFormat="1" ht="15.6">
      <c r="A188" s="37"/>
      <c r="B188" s="37" t="s">
        <v>315</v>
      </c>
      <c r="C188" s="36">
        <f t="shared" si="10"/>
        <v>26745</v>
      </c>
      <c r="D188" s="35"/>
      <c r="E188" s="35"/>
      <c r="F188" s="35"/>
      <c r="G188" s="35"/>
      <c r="H188" s="35"/>
      <c r="I188" s="35"/>
      <c r="J188" s="35"/>
      <c r="K188" s="43">
        <f>SUM(L188:P188)</f>
        <v>0</v>
      </c>
      <c r="L188" s="35"/>
      <c r="M188" s="43"/>
      <c r="N188" s="43"/>
      <c r="O188" s="43"/>
      <c r="P188" s="35"/>
      <c r="Q188" s="37"/>
      <c r="R188" s="44"/>
      <c r="S188" s="35">
        <v>26745</v>
      </c>
      <c r="T188" s="44"/>
      <c r="U188" s="30"/>
    </row>
    <row r="189" spans="1:23" s="25" customFormat="1" ht="19.2">
      <c r="A189" s="39" t="s">
        <v>17</v>
      </c>
      <c r="B189" s="45" t="s">
        <v>316</v>
      </c>
      <c r="C189" s="22">
        <f>SUM(C190:C199)</f>
        <v>83339</v>
      </c>
      <c r="D189" s="22">
        <f>SUM(D190:D199)</f>
        <v>6871</v>
      </c>
      <c r="E189" s="22">
        <f t="shared" ref="E189:N189" si="16">SUM(E190:E199)</f>
        <v>0</v>
      </c>
      <c r="F189" s="22">
        <f t="shared" si="16"/>
        <v>55000</v>
      </c>
      <c r="G189" s="22">
        <f t="shared" si="16"/>
        <v>14327</v>
      </c>
      <c r="H189" s="22">
        <f t="shared" si="16"/>
        <v>2337</v>
      </c>
      <c r="I189" s="22">
        <f t="shared" si="16"/>
        <v>2840</v>
      </c>
      <c r="J189" s="22">
        <f t="shared" si="16"/>
        <v>0</v>
      </c>
      <c r="K189" s="22">
        <f t="shared" si="16"/>
        <v>0</v>
      </c>
      <c r="L189" s="22">
        <f t="shared" si="16"/>
        <v>0</v>
      </c>
      <c r="M189" s="22">
        <f t="shared" si="16"/>
        <v>0</v>
      </c>
      <c r="N189" s="22">
        <f t="shared" si="16"/>
        <v>0</v>
      </c>
      <c r="O189" s="22"/>
      <c r="P189" s="22">
        <f t="shared" ref="P189:U189" si="17">SUM(P190:P199)</f>
        <v>0</v>
      </c>
      <c r="Q189" s="22">
        <f t="shared" si="17"/>
        <v>0</v>
      </c>
      <c r="R189" s="46">
        <f t="shared" si="17"/>
        <v>0</v>
      </c>
      <c r="S189" s="46">
        <f t="shared" si="17"/>
        <v>0</v>
      </c>
      <c r="T189" s="50">
        <f t="shared" si="17"/>
        <v>1964</v>
      </c>
      <c r="U189" s="40">
        <f t="shared" si="17"/>
        <v>0</v>
      </c>
      <c r="W189" s="41"/>
    </row>
    <row r="190" spans="1:23" s="25" customFormat="1" ht="15.6">
      <c r="A190" s="23">
        <v>1</v>
      </c>
      <c r="B190" s="23" t="s">
        <v>317</v>
      </c>
      <c r="C190" s="26">
        <f t="shared" si="10"/>
        <v>0</v>
      </c>
      <c r="D190" s="42"/>
      <c r="E190" s="42"/>
      <c r="F190" s="42"/>
      <c r="G190" s="42"/>
      <c r="H190" s="42"/>
      <c r="I190" s="42"/>
      <c r="J190" s="42"/>
      <c r="K190" s="43">
        <f>L190+M190+N190+O190+P190</f>
        <v>0</v>
      </c>
      <c r="L190" s="42"/>
      <c r="M190" s="48"/>
      <c r="N190" s="48"/>
      <c r="O190" s="48"/>
      <c r="P190" s="42"/>
      <c r="Q190" s="23"/>
      <c r="R190" s="49"/>
      <c r="S190" s="49"/>
      <c r="T190" s="49"/>
      <c r="U190" s="30"/>
    </row>
    <row r="191" spans="1:23" s="25" customFormat="1" ht="15.6">
      <c r="A191" s="30">
        <f>A190+1</f>
        <v>2</v>
      </c>
      <c r="B191" s="30" t="s">
        <v>318</v>
      </c>
      <c r="C191" s="32">
        <f t="shared" si="10"/>
        <v>19504</v>
      </c>
      <c r="D191" s="28"/>
      <c r="E191" s="28"/>
      <c r="F191" s="28"/>
      <c r="G191" s="28">
        <f>8217+6110</f>
        <v>14327</v>
      </c>
      <c r="H191" s="28">
        <v>2337</v>
      </c>
      <c r="I191" s="28">
        <v>2840</v>
      </c>
      <c r="J191" s="28"/>
      <c r="K191" s="43">
        <f t="shared" ref="K191:K198" si="18">L191+M191+N191+O191+P191</f>
        <v>0</v>
      </c>
      <c r="L191" s="28"/>
      <c r="M191" s="29"/>
      <c r="N191" s="29"/>
      <c r="O191" s="29"/>
      <c r="P191" s="28"/>
      <c r="Q191" s="30"/>
      <c r="R191" s="31"/>
      <c r="S191" s="31"/>
      <c r="T191" s="31"/>
      <c r="U191" s="30"/>
    </row>
    <row r="192" spans="1:23" s="55" customFormat="1" ht="15.6">
      <c r="A192" s="52">
        <f t="shared" ref="A192:A199" si="19">A191+1</f>
        <v>3</v>
      </c>
      <c r="B192" s="52" t="s">
        <v>319</v>
      </c>
      <c r="C192" s="32">
        <f t="shared" si="10"/>
        <v>0</v>
      </c>
      <c r="D192" s="53"/>
      <c r="E192" s="53"/>
      <c r="F192" s="53"/>
      <c r="G192" s="53"/>
      <c r="H192" s="53"/>
      <c r="I192" s="53"/>
      <c r="J192" s="53"/>
      <c r="K192" s="43">
        <f t="shared" si="18"/>
        <v>0</v>
      </c>
      <c r="L192" s="53"/>
      <c r="M192" s="53"/>
      <c r="N192" s="53">
        <v>0</v>
      </c>
      <c r="O192" s="53"/>
      <c r="P192" s="53"/>
      <c r="Q192" s="52"/>
      <c r="R192" s="54"/>
      <c r="S192" s="54"/>
      <c r="T192" s="54"/>
      <c r="U192" s="52"/>
    </row>
    <row r="193" spans="1:21" s="25" customFormat="1" ht="15.6">
      <c r="A193" s="52">
        <f t="shared" si="19"/>
        <v>4</v>
      </c>
      <c r="B193" s="30" t="s">
        <v>320</v>
      </c>
      <c r="C193" s="32">
        <f t="shared" si="10"/>
        <v>0</v>
      </c>
      <c r="D193" s="28"/>
      <c r="E193" s="28"/>
      <c r="F193" s="28"/>
      <c r="G193" s="28"/>
      <c r="H193" s="28"/>
      <c r="I193" s="28"/>
      <c r="J193" s="28"/>
      <c r="K193" s="43">
        <f t="shared" si="18"/>
        <v>0</v>
      </c>
      <c r="L193" s="28"/>
      <c r="M193" s="29"/>
      <c r="N193" s="29"/>
      <c r="O193" s="29"/>
      <c r="P193" s="28"/>
      <c r="Q193" s="30"/>
      <c r="R193" s="31"/>
      <c r="S193" s="31"/>
      <c r="T193" s="31"/>
      <c r="U193" s="30"/>
    </row>
    <row r="194" spans="1:21" s="55" customFormat="1" ht="31.2">
      <c r="A194" s="52">
        <f t="shared" si="19"/>
        <v>5</v>
      </c>
      <c r="B194" s="52" t="s">
        <v>321</v>
      </c>
      <c r="C194" s="32">
        <f t="shared" si="10"/>
        <v>3928</v>
      </c>
      <c r="D194" s="53">
        <v>3928</v>
      </c>
      <c r="E194" s="53"/>
      <c r="F194" s="53"/>
      <c r="G194" s="53"/>
      <c r="H194" s="53"/>
      <c r="I194" s="53"/>
      <c r="J194" s="53"/>
      <c r="K194" s="43">
        <f t="shared" si="18"/>
        <v>0</v>
      </c>
      <c r="L194" s="53"/>
      <c r="M194" s="53"/>
      <c r="N194" s="53"/>
      <c r="O194" s="53"/>
      <c r="P194" s="53"/>
      <c r="Q194" s="52"/>
      <c r="R194" s="54"/>
      <c r="S194" s="54"/>
      <c r="T194" s="54"/>
      <c r="U194" s="52"/>
    </row>
    <row r="195" spans="1:21" s="25" customFormat="1" ht="15.6">
      <c r="A195" s="52">
        <f t="shared" si="19"/>
        <v>6</v>
      </c>
      <c r="B195" s="30" t="s">
        <v>322</v>
      </c>
      <c r="C195" s="32">
        <f t="shared" si="10"/>
        <v>2943</v>
      </c>
      <c r="D195" s="28">
        <v>2943</v>
      </c>
      <c r="E195" s="28"/>
      <c r="F195" s="28"/>
      <c r="G195" s="28"/>
      <c r="H195" s="28"/>
      <c r="I195" s="28"/>
      <c r="J195" s="28"/>
      <c r="K195" s="43">
        <f t="shared" si="18"/>
        <v>0</v>
      </c>
      <c r="L195" s="28"/>
      <c r="M195" s="29"/>
      <c r="N195" s="29"/>
      <c r="O195" s="29"/>
      <c r="P195" s="28"/>
      <c r="Q195" s="30"/>
      <c r="R195" s="31"/>
      <c r="S195" s="31"/>
      <c r="T195" s="31"/>
      <c r="U195" s="30"/>
    </row>
    <row r="196" spans="1:21" s="25" customFormat="1" ht="15.6">
      <c r="A196" s="52">
        <f t="shared" si="19"/>
        <v>7</v>
      </c>
      <c r="B196" s="30" t="s">
        <v>323</v>
      </c>
      <c r="C196" s="32">
        <f t="shared" si="10"/>
        <v>0</v>
      </c>
      <c r="D196" s="28"/>
      <c r="E196" s="28"/>
      <c r="F196" s="28"/>
      <c r="G196" s="28"/>
      <c r="H196" s="28"/>
      <c r="I196" s="28"/>
      <c r="J196" s="28"/>
      <c r="K196" s="43">
        <f t="shared" si="18"/>
        <v>0</v>
      </c>
      <c r="L196" s="28"/>
      <c r="M196" s="29"/>
      <c r="N196" s="29"/>
      <c r="O196" s="29"/>
      <c r="P196" s="28"/>
      <c r="Q196" s="30"/>
      <c r="R196" s="31"/>
      <c r="S196" s="31"/>
      <c r="T196" s="31"/>
      <c r="U196" s="30"/>
    </row>
    <row r="197" spans="1:21" s="25" customFormat="1" ht="15.6">
      <c r="A197" s="52">
        <f t="shared" si="19"/>
        <v>8</v>
      </c>
      <c r="B197" s="30" t="s">
        <v>324</v>
      </c>
      <c r="C197" s="32">
        <f t="shared" si="10"/>
        <v>0</v>
      </c>
      <c r="D197" s="28"/>
      <c r="E197" s="28"/>
      <c r="F197" s="28"/>
      <c r="G197" s="28"/>
      <c r="H197" s="28"/>
      <c r="I197" s="28"/>
      <c r="J197" s="28"/>
      <c r="K197" s="43">
        <f t="shared" si="18"/>
        <v>0</v>
      </c>
      <c r="L197" s="28"/>
      <c r="M197" s="29"/>
      <c r="N197" s="29"/>
      <c r="O197" s="29"/>
      <c r="P197" s="28"/>
      <c r="Q197" s="30"/>
      <c r="R197" s="31"/>
      <c r="S197" s="31"/>
      <c r="T197" s="31"/>
      <c r="U197" s="30"/>
    </row>
    <row r="198" spans="1:21" s="25" customFormat="1" ht="15.6">
      <c r="A198" s="56">
        <f t="shared" si="19"/>
        <v>9</v>
      </c>
      <c r="B198" s="37" t="s">
        <v>418</v>
      </c>
      <c r="C198" s="36">
        <f t="shared" si="10"/>
        <v>55000</v>
      </c>
      <c r="D198" s="28">
        <v>0</v>
      </c>
      <c r="E198" s="28"/>
      <c r="F198" s="28">
        <f>54977+23</f>
        <v>55000</v>
      </c>
      <c r="G198" s="28"/>
      <c r="H198" s="28"/>
      <c r="I198" s="28"/>
      <c r="J198" s="28"/>
      <c r="K198" s="43">
        <f t="shared" si="18"/>
        <v>0</v>
      </c>
      <c r="L198" s="28"/>
      <c r="M198" s="29"/>
      <c r="N198" s="29"/>
      <c r="O198" s="29"/>
      <c r="P198" s="28"/>
      <c r="Q198" s="30"/>
      <c r="R198" s="31"/>
      <c r="S198" s="31"/>
      <c r="T198" s="31"/>
      <c r="U198" s="30"/>
    </row>
    <row r="199" spans="1:21" s="25" customFormat="1" ht="15.6">
      <c r="A199" s="61">
        <f t="shared" si="19"/>
        <v>10</v>
      </c>
      <c r="B199" s="38" t="s">
        <v>162</v>
      </c>
      <c r="C199" s="50">
        <f t="shared" si="10"/>
        <v>1964</v>
      </c>
      <c r="D199" s="57"/>
      <c r="E199" s="57"/>
      <c r="F199" s="57"/>
      <c r="G199" s="57"/>
      <c r="H199" s="57"/>
      <c r="I199" s="57"/>
      <c r="J199" s="57"/>
      <c r="K199" s="176"/>
      <c r="L199" s="57"/>
      <c r="M199" s="176"/>
      <c r="N199" s="176"/>
      <c r="O199" s="176"/>
      <c r="P199" s="57"/>
      <c r="Q199" s="58"/>
      <c r="R199" s="177"/>
      <c r="S199" s="177"/>
      <c r="T199" s="57">
        <v>1964</v>
      </c>
      <c r="U199" s="37"/>
    </row>
    <row r="200" spans="1:21">
      <c r="A200" s="11"/>
      <c r="B200" s="11"/>
      <c r="C200" s="17"/>
      <c r="D200" s="18"/>
      <c r="E200" s="12"/>
      <c r="F200" s="11"/>
      <c r="G200" s="373"/>
      <c r="H200" s="373"/>
      <c r="I200" s="373"/>
      <c r="J200" s="373"/>
      <c r="K200" s="373"/>
      <c r="L200" s="373"/>
      <c r="M200" s="373"/>
      <c r="N200" s="373"/>
      <c r="O200" s="373"/>
      <c r="P200" s="373"/>
      <c r="Q200" s="11"/>
      <c r="R200" s="11"/>
      <c r="S200" s="11"/>
      <c r="T200" s="13"/>
      <c r="U200" s="11"/>
    </row>
    <row r="201" spans="1:21">
      <c r="A201" s="11"/>
      <c r="B201" s="11"/>
      <c r="C201" s="14"/>
      <c r="D201" s="11"/>
      <c r="E201" s="11"/>
      <c r="F201" s="11"/>
      <c r="G201" s="374"/>
      <c r="H201" s="374"/>
      <c r="I201" s="374"/>
      <c r="J201" s="374"/>
      <c r="K201" s="374"/>
      <c r="L201" s="374"/>
      <c r="M201" s="374"/>
      <c r="N201" s="374"/>
      <c r="O201" s="374"/>
      <c r="P201" s="374"/>
      <c r="Q201" s="11"/>
      <c r="R201" s="11"/>
      <c r="S201" s="11"/>
      <c r="T201" s="13"/>
      <c r="U201" s="11"/>
    </row>
    <row r="202" spans="1:2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3"/>
      <c r="U202" s="11"/>
    </row>
    <row r="203" spans="1:2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3"/>
      <c r="U203" s="11"/>
    </row>
    <row r="204" spans="1:2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3"/>
      <c r="U204" s="11"/>
    </row>
    <row r="205" spans="1:2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3"/>
      <c r="U205" s="11"/>
    </row>
    <row r="206" spans="1:2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3"/>
      <c r="U206" s="11"/>
    </row>
    <row r="207" spans="1:2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3"/>
      <c r="U207" s="11"/>
    </row>
    <row r="208" spans="1:2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3"/>
      <c r="U208" s="11"/>
    </row>
    <row r="209" spans="1:2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3"/>
      <c r="U209" s="11"/>
    </row>
    <row r="210" spans="1:2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3"/>
      <c r="U210" s="11"/>
    </row>
    <row r="211" spans="1:2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3"/>
      <c r="U211" s="11"/>
    </row>
    <row r="212" spans="1:2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3"/>
      <c r="U212" s="11"/>
    </row>
  </sheetData>
  <mergeCells count="28">
    <mergeCell ref="A5:T5"/>
    <mergeCell ref="A6:T6"/>
    <mergeCell ref="A1:B1"/>
    <mergeCell ref="C1:P1"/>
    <mergeCell ref="A2:B2"/>
    <mergeCell ref="C2:P2"/>
    <mergeCell ref="C3:F3"/>
    <mergeCell ref="A4:T4"/>
    <mergeCell ref="A7:T7"/>
    <mergeCell ref="A9:A11"/>
    <mergeCell ref="B9:B11"/>
    <mergeCell ref="C9:C11"/>
    <mergeCell ref="Q10:Q11"/>
    <mergeCell ref="R10:R11"/>
    <mergeCell ref="S10:S11"/>
    <mergeCell ref="T10:T11"/>
    <mergeCell ref="K10:K11"/>
    <mergeCell ref="L10:P10"/>
    <mergeCell ref="G200:P200"/>
    <mergeCell ref="G201:P201"/>
    <mergeCell ref="U9:U11"/>
    <mergeCell ref="D10:D11"/>
    <mergeCell ref="E10:E11"/>
    <mergeCell ref="F10:F11"/>
    <mergeCell ref="G10:G11"/>
    <mergeCell ref="H10:H11"/>
    <mergeCell ref="I10:I11"/>
    <mergeCell ref="J10:J11"/>
  </mergeCells>
  <phoneticPr fontId="5" type="noConversion"/>
  <printOptions horizontalCentered="1"/>
  <pageMargins left="0.25" right="0.25" top="0.7" bottom="0.25" header="0.3" footer="0.28000000000000003"/>
  <pageSetup paperSize="9" scale="80" fitToHeight="0" orientation="landscape" r:id="rId1"/>
  <headerFooter alignWithMargins="0">
    <oddHeader>&amp;C&amp;P/&amp;N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2:W42"/>
  <sheetViews>
    <sheetView workbookViewId="0">
      <selection activeCell="A5" sqref="A5:L5"/>
    </sheetView>
  </sheetViews>
  <sheetFormatPr defaultColWidth="9" defaultRowHeight="15.6"/>
  <cols>
    <col min="1" max="1" width="4.69921875" style="25" customWidth="1"/>
    <col min="2" max="2" width="18.3984375" style="25" customWidth="1"/>
    <col min="3" max="3" width="9" style="24"/>
    <col min="4" max="11" width="9" style="25"/>
    <col min="12" max="12" width="10.3984375" style="25" customWidth="1"/>
    <col min="13" max="19" width="0" style="25" hidden="1" customWidth="1"/>
    <col min="20" max="16384" width="9" style="25"/>
  </cols>
  <sheetData>
    <row r="2" spans="1:23">
      <c r="A2" s="390" t="s">
        <v>130</v>
      </c>
      <c r="B2" s="390"/>
    </row>
    <row r="3" spans="1:23">
      <c r="A3" s="392" t="s">
        <v>135</v>
      </c>
      <c r="B3" s="392"/>
      <c r="L3" s="246" t="s">
        <v>126</v>
      </c>
    </row>
    <row r="5" spans="1:23" ht="20.25" customHeight="1">
      <c r="A5" s="392" t="s">
        <v>530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1:23" ht="19.5" customHeight="1">
      <c r="A6" s="397" t="s">
        <v>522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3">
      <c r="L7" s="247" t="s">
        <v>0</v>
      </c>
    </row>
    <row r="8" spans="1:23" ht="33" customHeight="1">
      <c r="A8" s="396" t="s">
        <v>99</v>
      </c>
      <c r="B8" s="396" t="s">
        <v>100</v>
      </c>
      <c r="C8" s="398" t="s">
        <v>101</v>
      </c>
      <c r="D8" s="399" t="s">
        <v>102</v>
      </c>
      <c r="E8" s="400"/>
      <c r="F8" s="400"/>
      <c r="G8" s="400"/>
      <c r="H8" s="400"/>
      <c r="I8" s="400"/>
      <c r="J8" s="400"/>
      <c r="K8" s="401"/>
      <c r="L8" s="396" t="s">
        <v>104</v>
      </c>
    </row>
    <row r="9" spans="1:23" ht="20.25" customHeight="1">
      <c r="A9" s="396"/>
      <c r="B9" s="396"/>
      <c r="C9" s="398"/>
      <c r="D9" s="396" t="s">
        <v>105</v>
      </c>
      <c r="E9" s="396" t="s">
        <v>57</v>
      </c>
      <c r="F9" s="396"/>
      <c r="G9" s="249"/>
      <c r="H9" s="250"/>
      <c r="I9" s="250"/>
      <c r="J9" s="250"/>
      <c r="K9" s="250"/>
      <c r="L9" s="396"/>
    </row>
    <row r="10" spans="1:23" ht="124.8">
      <c r="A10" s="396"/>
      <c r="B10" s="396"/>
      <c r="C10" s="398"/>
      <c r="D10" s="396"/>
      <c r="E10" s="248" t="s">
        <v>106</v>
      </c>
      <c r="F10" s="248" t="s">
        <v>107</v>
      </c>
      <c r="G10" s="248" t="s">
        <v>412</v>
      </c>
      <c r="H10" s="251" t="s">
        <v>103</v>
      </c>
      <c r="I10" s="251" t="s">
        <v>413</v>
      </c>
      <c r="J10" s="251" t="s">
        <v>127</v>
      </c>
      <c r="K10" s="251" t="s">
        <v>18</v>
      </c>
      <c r="L10" s="396"/>
    </row>
    <row r="11" spans="1:23" ht="12.75" customHeight="1">
      <c r="A11" s="252" t="s">
        <v>3</v>
      </c>
      <c r="B11" s="252" t="s">
        <v>4</v>
      </c>
      <c r="C11" s="253">
        <v>1</v>
      </c>
      <c r="D11" s="252">
        <v>2</v>
      </c>
      <c r="E11" s="252">
        <v>3</v>
      </c>
      <c r="F11" s="252">
        <v>4</v>
      </c>
      <c r="G11" s="252"/>
      <c r="H11" s="252">
        <v>5</v>
      </c>
      <c r="I11" s="252">
        <v>6</v>
      </c>
      <c r="J11" s="252">
        <v>7</v>
      </c>
      <c r="K11" s="252">
        <v>8</v>
      </c>
      <c r="L11" s="252">
        <v>9</v>
      </c>
      <c r="O11" s="179">
        <v>1</v>
      </c>
    </row>
    <row r="12" spans="1:23" ht="25.5" customHeight="1">
      <c r="A12" s="254"/>
      <c r="B12" s="254" t="s">
        <v>94</v>
      </c>
      <c r="C12" s="180">
        <f>+SUM(C13:C42)</f>
        <v>334465</v>
      </c>
      <c r="D12" s="180">
        <f>+SUM(D13:D42)</f>
        <v>315968</v>
      </c>
      <c r="E12" s="180">
        <f t="shared" ref="E12:L12" si="0">+SUM(E13:E42)</f>
        <v>130872</v>
      </c>
      <c r="F12" s="180">
        <f t="shared" si="0"/>
        <v>47450</v>
      </c>
      <c r="G12" s="180">
        <f t="shared" si="0"/>
        <v>21704</v>
      </c>
      <c r="H12" s="180">
        <f t="shared" si="0"/>
        <v>104210</v>
      </c>
      <c r="I12" s="180">
        <f t="shared" si="0"/>
        <v>11732</v>
      </c>
      <c r="J12" s="180">
        <f t="shared" si="0"/>
        <v>0</v>
      </c>
      <c r="K12" s="180">
        <f t="shared" si="0"/>
        <v>0</v>
      </c>
      <c r="L12" s="180">
        <f t="shared" si="0"/>
        <v>315968</v>
      </c>
      <c r="M12" s="255">
        <f>SUM(M13:M42)</f>
        <v>180203</v>
      </c>
      <c r="N12" s="24">
        <f>H12+I12+J12</f>
        <v>115942</v>
      </c>
      <c r="O12" s="402" t="s">
        <v>354</v>
      </c>
      <c r="P12" s="403"/>
      <c r="Q12" s="403"/>
      <c r="R12" s="403"/>
      <c r="S12" s="403"/>
    </row>
    <row r="13" spans="1:23" ht="18.75" customHeight="1">
      <c r="A13" s="183">
        <v>1</v>
      </c>
      <c r="B13" s="184" t="s">
        <v>355</v>
      </c>
      <c r="C13" s="256">
        <v>10040</v>
      </c>
      <c r="D13" s="256">
        <f>E13+F13+G13+H13+I13+J13+K13</f>
        <v>7388</v>
      </c>
      <c r="E13" s="181">
        <f>600+575+90</f>
        <v>1265</v>
      </c>
      <c r="F13" s="181">
        <f>959+100</f>
        <v>1059</v>
      </c>
      <c r="G13" s="181">
        <v>541</v>
      </c>
      <c r="H13" s="181">
        <v>4353</v>
      </c>
      <c r="I13" s="181">
        <v>170</v>
      </c>
      <c r="J13" s="181"/>
      <c r="K13" s="181"/>
      <c r="L13" s="181">
        <v>7388</v>
      </c>
      <c r="M13" s="25">
        <v>2390</v>
      </c>
      <c r="N13" s="24">
        <f>H13+I13+J13</f>
        <v>4523</v>
      </c>
      <c r="O13" s="394" t="s">
        <v>356</v>
      </c>
      <c r="P13" s="395"/>
      <c r="Q13" s="395"/>
      <c r="R13" s="395"/>
      <c r="S13" s="395"/>
    </row>
    <row r="14" spans="1:23">
      <c r="A14" s="183">
        <v>2</v>
      </c>
      <c r="B14" s="184" t="s">
        <v>357</v>
      </c>
      <c r="C14" s="256">
        <v>3661</v>
      </c>
      <c r="D14" s="256">
        <f t="shared" ref="D14:D42" si="1">E14+F14+G14+H14+I14+J14+K14</f>
        <v>8832</v>
      </c>
      <c r="E14" s="181">
        <f>670+296+30</f>
        <v>996</v>
      </c>
      <c r="F14" s="181">
        <f>435+100</f>
        <v>535</v>
      </c>
      <c r="G14" s="181">
        <v>676</v>
      </c>
      <c r="H14" s="181">
        <v>6465</v>
      </c>
      <c r="I14" s="181">
        <v>160</v>
      </c>
      <c r="J14" s="181"/>
      <c r="K14" s="181"/>
      <c r="L14" s="181">
        <v>8832</v>
      </c>
      <c r="M14" s="25">
        <v>1743</v>
      </c>
      <c r="N14" s="24">
        <f t="shared" ref="N14:N42" si="2">H14+I14+J14</f>
        <v>6625</v>
      </c>
      <c r="O14" s="25" t="s">
        <v>358</v>
      </c>
    </row>
    <row r="15" spans="1:23">
      <c r="A15" s="183">
        <v>3</v>
      </c>
      <c r="B15" s="184" t="s">
        <v>359</v>
      </c>
      <c r="C15" s="256">
        <v>7364</v>
      </c>
      <c r="D15" s="256">
        <f t="shared" si="1"/>
        <v>9743</v>
      </c>
      <c r="E15" s="181">
        <f>1944+771+120</f>
        <v>2835</v>
      </c>
      <c r="F15" s="181">
        <f>765+250</f>
        <v>1015</v>
      </c>
      <c r="G15" s="181">
        <v>693</v>
      </c>
      <c r="H15" s="181">
        <v>4970</v>
      </c>
      <c r="I15" s="181">
        <v>230</v>
      </c>
      <c r="J15" s="181"/>
      <c r="K15" s="181"/>
      <c r="L15" s="181">
        <v>9743</v>
      </c>
      <c r="M15" s="25">
        <v>4261</v>
      </c>
      <c r="N15" s="24">
        <f t="shared" si="2"/>
        <v>5200</v>
      </c>
    </row>
    <row r="16" spans="1:23">
      <c r="A16" s="183">
        <v>4</v>
      </c>
      <c r="B16" s="184" t="s">
        <v>360</v>
      </c>
      <c r="C16" s="256">
        <v>7698</v>
      </c>
      <c r="D16" s="256">
        <f t="shared" si="1"/>
        <v>9658</v>
      </c>
      <c r="E16" s="181">
        <f>1750+755+120</f>
        <v>2625</v>
      </c>
      <c r="F16" s="181">
        <f>700+300</f>
        <v>1000</v>
      </c>
      <c r="G16" s="181">
        <v>626</v>
      </c>
      <c r="H16" s="181">
        <v>4781</v>
      </c>
      <c r="I16" s="181">
        <v>626</v>
      </c>
      <c r="J16" s="181"/>
      <c r="K16" s="181"/>
      <c r="L16" s="181">
        <v>9658</v>
      </c>
      <c r="M16" s="25">
        <v>3940</v>
      </c>
      <c r="N16" s="24">
        <f t="shared" si="2"/>
        <v>5407</v>
      </c>
    </row>
    <row r="17" spans="1:15">
      <c r="A17" s="183">
        <v>5</v>
      </c>
      <c r="B17" s="184" t="s">
        <v>361</v>
      </c>
      <c r="C17" s="181">
        <v>7622</v>
      </c>
      <c r="D17" s="256">
        <f t="shared" si="1"/>
        <v>9482</v>
      </c>
      <c r="E17" s="181">
        <f>1350+789+140</f>
        <v>2279</v>
      </c>
      <c r="F17" s="181">
        <f>600+400</f>
        <v>1000</v>
      </c>
      <c r="G17" s="181">
        <v>665</v>
      </c>
      <c r="H17" s="181">
        <v>5285</v>
      </c>
      <c r="I17" s="181">
        <v>253</v>
      </c>
      <c r="J17" s="181"/>
      <c r="K17" s="181"/>
      <c r="L17" s="181">
        <v>9482</v>
      </c>
      <c r="M17" s="25">
        <v>3531</v>
      </c>
      <c r="N17" s="24">
        <f t="shared" si="2"/>
        <v>5538</v>
      </c>
      <c r="O17" s="25" t="s">
        <v>362</v>
      </c>
    </row>
    <row r="18" spans="1:15">
      <c r="A18" s="183">
        <v>6</v>
      </c>
      <c r="B18" s="184" t="s">
        <v>363</v>
      </c>
      <c r="C18" s="181">
        <v>11535</v>
      </c>
      <c r="D18" s="256">
        <f t="shared" si="1"/>
        <v>10349</v>
      </c>
      <c r="E18" s="181">
        <f>2800+1291+250</f>
        <v>4341</v>
      </c>
      <c r="F18" s="181">
        <f>602+900</f>
        <v>1502</v>
      </c>
      <c r="G18" s="181">
        <v>692</v>
      </c>
      <c r="H18" s="181">
        <v>3184</v>
      </c>
      <c r="I18" s="181">
        <v>630</v>
      </c>
      <c r="J18" s="181"/>
      <c r="K18" s="181"/>
      <c r="L18" s="181">
        <v>10349</v>
      </c>
      <c r="M18" s="25">
        <v>5846</v>
      </c>
      <c r="N18" s="24">
        <f t="shared" si="2"/>
        <v>3814</v>
      </c>
    </row>
    <row r="19" spans="1:15">
      <c r="A19" s="183">
        <v>7</v>
      </c>
      <c r="B19" s="184" t="s">
        <v>364</v>
      </c>
      <c r="C19" s="181">
        <v>7128</v>
      </c>
      <c r="D19" s="256">
        <f t="shared" si="1"/>
        <v>10625</v>
      </c>
      <c r="E19" s="181">
        <f>2400+685+80</f>
        <v>3165</v>
      </c>
      <c r="F19" s="181">
        <f>480+600</f>
        <v>1080</v>
      </c>
      <c r="G19" s="181">
        <v>703</v>
      </c>
      <c r="H19" s="181">
        <v>5053</v>
      </c>
      <c r="I19" s="181">
        <v>624</v>
      </c>
      <c r="J19" s="181"/>
      <c r="K19" s="181"/>
      <c r="L19" s="181">
        <v>10625</v>
      </c>
      <c r="M19" s="25">
        <v>4062</v>
      </c>
      <c r="N19" s="24">
        <f t="shared" si="2"/>
        <v>5677</v>
      </c>
      <c r="O19" s="182" t="s">
        <v>365</v>
      </c>
    </row>
    <row r="20" spans="1:15">
      <c r="A20" s="183">
        <v>8</v>
      </c>
      <c r="B20" s="184" t="s">
        <v>366</v>
      </c>
      <c r="C20" s="181">
        <v>3261</v>
      </c>
      <c r="D20" s="256">
        <f t="shared" si="1"/>
        <v>8626</v>
      </c>
      <c r="E20" s="181">
        <f>1200+328+50</f>
        <v>1578</v>
      </c>
      <c r="F20" s="181">
        <f>207+220</f>
        <v>427</v>
      </c>
      <c r="G20" s="181">
        <v>611</v>
      </c>
      <c r="H20" s="181">
        <v>5784</v>
      </c>
      <c r="I20" s="181">
        <v>226</v>
      </c>
      <c r="J20" s="181"/>
      <c r="K20" s="181"/>
      <c r="L20" s="181">
        <v>8626</v>
      </c>
      <c r="M20" s="25">
        <v>2084</v>
      </c>
      <c r="N20" s="24">
        <f t="shared" si="2"/>
        <v>6010</v>
      </c>
      <c r="O20" s="182" t="s">
        <v>367</v>
      </c>
    </row>
    <row r="21" spans="1:15">
      <c r="A21" s="183">
        <v>9</v>
      </c>
      <c r="B21" s="184" t="s">
        <v>368</v>
      </c>
      <c r="C21" s="181">
        <v>16294</v>
      </c>
      <c r="D21" s="256">
        <f t="shared" si="1"/>
        <v>12291</v>
      </c>
      <c r="E21" s="181">
        <f>3950+2624+150</f>
        <v>6724</v>
      </c>
      <c r="F21" s="181">
        <f>1145+750</f>
        <v>1895</v>
      </c>
      <c r="G21" s="181">
        <v>886</v>
      </c>
      <c r="H21" s="181">
        <v>2454</v>
      </c>
      <c r="I21" s="181">
        <v>332</v>
      </c>
      <c r="J21" s="181"/>
      <c r="K21" s="181"/>
      <c r="L21" s="181">
        <v>12291</v>
      </c>
      <c r="M21" s="25">
        <v>7993</v>
      </c>
      <c r="N21" s="24">
        <f t="shared" si="2"/>
        <v>2786</v>
      </c>
      <c r="O21" s="182" t="s">
        <v>369</v>
      </c>
    </row>
    <row r="22" spans="1:15">
      <c r="A22" s="183">
        <v>10</v>
      </c>
      <c r="B22" s="184" t="s">
        <v>370</v>
      </c>
      <c r="C22" s="181">
        <v>18185</v>
      </c>
      <c r="D22" s="256">
        <f t="shared" si="1"/>
        <v>10861</v>
      </c>
      <c r="E22" s="181">
        <f>3900+1738+400</f>
        <v>6038</v>
      </c>
      <c r="F22" s="181">
        <f>1660+1800</f>
        <v>3460</v>
      </c>
      <c r="G22" s="181">
        <v>723</v>
      </c>
      <c r="H22" s="181">
        <v>358</v>
      </c>
      <c r="I22" s="181">
        <v>282</v>
      </c>
      <c r="J22" s="181"/>
      <c r="K22" s="181"/>
      <c r="L22" s="181">
        <v>10861</v>
      </c>
      <c r="M22" s="25">
        <v>9199</v>
      </c>
      <c r="N22" s="24">
        <f t="shared" si="2"/>
        <v>640</v>
      </c>
    </row>
    <row r="23" spans="1:15">
      <c r="A23" s="183">
        <v>11</v>
      </c>
      <c r="B23" s="184" t="s">
        <v>425</v>
      </c>
      <c r="C23" s="181">
        <v>11130</v>
      </c>
      <c r="D23" s="256">
        <f t="shared" si="1"/>
        <v>10329</v>
      </c>
      <c r="E23" s="181">
        <f>2500+1104+130</f>
        <v>3734</v>
      </c>
      <c r="F23" s="181">
        <f>950+450</f>
        <v>1400</v>
      </c>
      <c r="G23" s="181">
        <v>744</v>
      </c>
      <c r="H23" s="181">
        <v>3821</v>
      </c>
      <c r="I23" s="181">
        <v>630</v>
      </c>
      <c r="J23" s="181"/>
      <c r="K23" s="181"/>
      <c r="L23" s="181">
        <v>10329</v>
      </c>
      <c r="M23" s="25">
        <v>5807</v>
      </c>
      <c r="N23" s="24">
        <f t="shared" si="2"/>
        <v>4451</v>
      </c>
    </row>
    <row r="24" spans="1:15">
      <c r="A24" s="183">
        <v>12</v>
      </c>
      <c r="B24" s="184" t="s">
        <v>372</v>
      </c>
      <c r="C24" s="181">
        <v>20942</v>
      </c>
      <c r="D24" s="256">
        <f t="shared" si="1"/>
        <v>14144</v>
      </c>
      <c r="E24" s="181">
        <f>6500+4238+200</f>
        <v>10938</v>
      </c>
      <c r="F24" s="181">
        <f>1335+1000</f>
        <v>2335</v>
      </c>
      <c r="G24" s="181">
        <v>861</v>
      </c>
      <c r="H24" s="181">
        <v>0</v>
      </c>
      <c r="I24" s="181">
        <v>10</v>
      </c>
      <c r="J24" s="181"/>
      <c r="K24" s="181"/>
      <c r="L24" s="181">
        <v>14144</v>
      </c>
      <c r="M24" s="25">
        <v>13127</v>
      </c>
      <c r="N24" s="24">
        <f t="shared" si="2"/>
        <v>10</v>
      </c>
    </row>
    <row r="25" spans="1:15">
      <c r="A25" s="183">
        <v>13</v>
      </c>
      <c r="B25" s="184" t="s">
        <v>373</v>
      </c>
      <c r="C25" s="181">
        <v>12733</v>
      </c>
      <c r="D25" s="256">
        <f t="shared" si="1"/>
        <v>10217</v>
      </c>
      <c r="E25" s="181">
        <f>3800+1258+80</f>
        <v>5138</v>
      </c>
      <c r="F25" s="181">
        <f>900+350</f>
        <v>1250</v>
      </c>
      <c r="G25" s="181">
        <v>724</v>
      </c>
      <c r="H25" s="181">
        <v>2416</v>
      </c>
      <c r="I25" s="181">
        <v>689</v>
      </c>
      <c r="J25" s="181"/>
      <c r="K25" s="181"/>
      <c r="L25" s="181">
        <v>10217</v>
      </c>
      <c r="M25" s="25">
        <v>6487</v>
      </c>
      <c r="N25" s="24">
        <f t="shared" si="2"/>
        <v>3105</v>
      </c>
    </row>
    <row r="26" spans="1:15">
      <c r="A26" s="183">
        <v>14</v>
      </c>
      <c r="B26" s="184" t="s">
        <v>426</v>
      </c>
      <c r="C26" s="181">
        <v>14800</v>
      </c>
      <c r="D26" s="256">
        <f t="shared" si="1"/>
        <v>10993</v>
      </c>
      <c r="E26" s="181">
        <f>3300+2261+120</f>
        <v>5681</v>
      </c>
      <c r="F26" s="181">
        <f>1226+900</f>
        <v>2126</v>
      </c>
      <c r="G26" s="181">
        <v>747</v>
      </c>
      <c r="H26" s="181">
        <v>2131</v>
      </c>
      <c r="I26" s="181">
        <v>308</v>
      </c>
      <c r="J26" s="181"/>
      <c r="K26" s="181"/>
      <c r="L26" s="181">
        <v>10993</v>
      </c>
      <c r="M26" s="25">
        <v>8007</v>
      </c>
      <c r="N26" s="24">
        <f t="shared" si="2"/>
        <v>2439</v>
      </c>
    </row>
    <row r="27" spans="1:15">
      <c r="A27" s="183">
        <v>15</v>
      </c>
      <c r="B27" s="184" t="s">
        <v>427</v>
      </c>
      <c r="C27" s="181">
        <v>11280</v>
      </c>
      <c r="D27" s="256">
        <f t="shared" si="1"/>
        <v>10796</v>
      </c>
      <c r="E27" s="181">
        <f>3800+1272+200</f>
        <v>5272</v>
      </c>
      <c r="F27" s="181">
        <f>680+750</f>
        <v>1430</v>
      </c>
      <c r="G27" s="181">
        <v>771</v>
      </c>
      <c r="H27" s="181">
        <v>3028</v>
      </c>
      <c r="I27" s="181">
        <v>295</v>
      </c>
      <c r="J27" s="181"/>
      <c r="K27" s="181"/>
      <c r="L27" s="181">
        <v>10796</v>
      </c>
      <c r="M27" s="25">
        <v>6788</v>
      </c>
      <c r="N27" s="24">
        <f t="shared" si="2"/>
        <v>3323</v>
      </c>
    </row>
    <row r="28" spans="1:15">
      <c r="A28" s="183">
        <v>16</v>
      </c>
      <c r="B28" s="184" t="s">
        <v>376</v>
      </c>
      <c r="C28" s="181">
        <v>10134</v>
      </c>
      <c r="D28" s="256">
        <f t="shared" si="1"/>
        <v>8949</v>
      </c>
      <c r="E28" s="181">
        <f>2100+927+80</f>
        <v>3107</v>
      </c>
      <c r="F28" s="181">
        <f>688+300</f>
        <v>988</v>
      </c>
      <c r="G28" s="181">
        <v>582</v>
      </c>
      <c r="H28" s="181">
        <v>4042</v>
      </c>
      <c r="I28" s="181">
        <v>230</v>
      </c>
      <c r="J28" s="181"/>
      <c r="K28" s="181"/>
      <c r="L28" s="181">
        <v>8949</v>
      </c>
      <c r="M28" s="25">
        <v>3888</v>
      </c>
      <c r="N28" s="24">
        <f t="shared" si="2"/>
        <v>4272</v>
      </c>
    </row>
    <row r="29" spans="1:15">
      <c r="A29" s="183">
        <v>17</v>
      </c>
      <c r="B29" s="184" t="s">
        <v>377</v>
      </c>
      <c r="C29" s="181">
        <v>7579</v>
      </c>
      <c r="D29" s="256">
        <f t="shared" si="1"/>
        <v>9451</v>
      </c>
      <c r="E29" s="181">
        <f>1381+781+100</f>
        <v>2262</v>
      </c>
      <c r="F29" s="181">
        <f>310+200</f>
        <v>510</v>
      </c>
      <c r="G29" s="181">
        <v>688</v>
      </c>
      <c r="H29" s="181">
        <v>5711</v>
      </c>
      <c r="I29" s="181">
        <v>280</v>
      </c>
      <c r="J29" s="181"/>
      <c r="K29" s="181"/>
      <c r="L29" s="181">
        <v>9451</v>
      </c>
      <c r="M29" s="25">
        <v>2872</v>
      </c>
      <c r="N29" s="24">
        <f t="shared" si="2"/>
        <v>5991</v>
      </c>
    </row>
    <row r="30" spans="1:15">
      <c r="A30" s="183">
        <v>18</v>
      </c>
      <c r="B30" s="184" t="s">
        <v>378</v>
      </c>
      <c r="C30" s="181">
        <v>14432</v>
      </c>
      <c r="D30" s="256">
        <f t="shared" si="1"/>
        <v>12390</v>
      </c>
      <c r="E30" s="181">
        <f>4600+2186+250</f>
        <v>7036</v>
      </c>
      <c r="F30" s="181">
        <f>570+1250</f>
        <v>1820</v>
      </c>
      <c r="G30" s="181">
        <v>872</v>
      </c>
      <c r="H30" s="181">
        <v>2301</v>
      </c>
      <c r="I30" s="181">
        <v>361</v>
      </c>
      <c r="J30" s="181"/>
      <c r="K30" s="181"/>
      <c r="L30" s="181">
        <v>12390</v>
      </c>
      <c r="M30" s="25">
        <v>9222</v>
      </c>
      <c r="N30" s="24">
        <f t="shared" si="2"/>
        <v>2662</v>
      </c>
    </row>
    <row r="31" spans="1:15">
      <c r="A31" s="183">
        <v>19</v>
      </c>
      <c r="B31" s="184" t="s">
        <v>379</v>
      </c>
      <c r="C31" s="181">
        <v>18205</v>
      </c>
      <c r="D31" s="256">
        <f t="shared" si="1"/>
        <v>11350</v>
      </c>
      <c r="E31" s="181">
        <f>5530+2122+120</f>
        <v>7772</v>
      </c>
      <c r="F31" s="181">
        <f>717+1250</f>
        <v>1967</v>
      </c>
      <c r="G31" s="181">
        <v>789</v>
      </c>
      <c r="H31" s="181">
        <v>492</v>
      </c>
      <c r="I31" s="181">
        <v>330</v>
      </c>
      <c r="J31" s="181"/>
      <c r="K31" s="181"/>
      <c r="L31" s="181">
        <v>11350</v>
      </c>
      <c r="M31" s="25">
        <v>8876</v>
      </c>
      <c r="N31" s="24">
        <f t="shared" si="2"/>
        <v>822</v>
      </c>
    </row>
    <row r="32" spans="1:15">
      <c r="A32" s="183">
        <v>20</v>
      </c>
      <c r="B32" s="184" t="s">
        <v>380</v>
      </c>
      <c r="C32" s="181">
        <v>20253</v>
      </c>
      <c r="D32" s="256">
        <f t="shared" si="1"/>
        <v>14402</v>
      </c>
      <c r="E32" s="181">
        <f>5033+3038+300</f>
        <v>8371</v>
      </c>
      <c r="F32" s="181">
        <f>975+2000</f>
        <v>2975</v>
      </c>
      <c r="G32" s="181">
        <v>922</v>
      </c>
      <c r="H32" s="181">
        <v>1724</v>
      </c>
      <c r="I32" s="181">
        <v>410</v>
      </c>
      <c r="J32" s="181"/>
      <c r="K32" s="181"/>
      <c r="L32" s="181">
        <v>14402</v>
      </c>
      <c r="M32" s="25">
        <v>11286</v>
      </c>
      <c r="N32" s="24">
        <f t="shared" si="2"/>
        <v>2134</v>
      </c>
    </row>
    <row r="33" spans="1:14">
      <c r="A33" s="183">
        <v>21</v>
      </c>
      <c r="B33" s="184" t="s">
        <v>381</v>
      </c>
      <c r="C33" s="181">
        <v>12942</v>
      </c>
      <c r="D33" s="256">
        <f t="shared" si="1"/>
        <v>13172</v>
      </c>
      <c r="E33" s="181">
        <f>4900+1459+130</f>
        <v>6489</v>
      </c>
      <c r="F33" s="181">
        <f>1048+700</f>
        <v>1748</v>
      </c>
      <c r="G33" s="181">
        <v>923</v>
      </c>
      <c r="H33" s="181">
        <v>3232</v>
      </c>
      <c r="I33" s="181">
        <v>780</v>
      </c>
      <c r="J33" s="181"/>
      <c r="K33" s="181"/>
      <c r="L33" s="181">
        <v>13172</v>
      </c>
      <c r="M33" s="25">
        <v>8237</v>
      </c>
      <c r="N33" s="24">
        <f t="shared" si="2"/>
        <v>4012</v>
      </c>
    </row>
    <row r="34" spans="1:14">
      <c r="A34" s="183">
        <v>22</v>
      </c>
      <c r="B34" s="184" t="s">
        <v>382</v>
      </c>
      <c r="C34" s="181">
        <v>21314</v>
      </c>
      <c r="D34" s="256">
        <f t="shared" si="1"/>
        <v>12321</v>
      </c>
      <c r="E34" s="181">
        <f>4800+1902+250</f>
        <v>6952</v>
      </c>
      <c r="F34" s="181">
        <f>3175+750</f>
        <v>3925</v>
      </c>
      <c r="G34" s="181">
        <v>876</v>
      </c>
      <c r="H34" s="181">
        <v>162</v>
      </c>
      <c r="I34" s="181">
        <v>406</v>
      </c>
      <c r="J34" s="181"/>
      <c r="K34" s="181"/>
      <c r="L34" s="181">
        <v>12321</v>
      </c>
      <c r="M34" s="25">
        <v>10255</v>
      </c>
      <c r="N34" s="24">
        <f t="shared" si="2"/>
        <v>568</v>
      </c>
    </row>
    <row r="35" spans="1:14">
      <c r="A35" s="183">
        <v>23</v>
      </c>
      <c r="B35" s="184" t="s">
        <v>383</v>
      </c>
      <c r="C35" s="181">
        <v>13239</v>
      </c>
      <c r="D35" s="256">
        <f t="shared" si="1"/>
        <v>12064</v>
      </c>
      <c r="E35" s="181">
        <f>3500+1351+150</f>
        <v>5001</v>
      </c>
      <c r="F35" s="181">
        <f>1589+600</f>
        <v>2189</v>
      </c>
      <c r="G35" s="181">
        <v>862</v>
      </c>
      <c r="H35" s="181">
        <v>3662</v>
      </c>
      <c r="I35" s="181">
        <v>350</v>
      </c>
      <c r="J35" s="181"/>
      <c r="K35" s="181"/>
      <c r="L35" s="181">
        <v>12064</v>
      </c>
      <c r="M35" s="25">
        <v>7263</v>
      </c>
      <c r="N35" s="24">
        <f t="shared" si="2"/>
        <v>4012</v>
      </c>
    </row>
    <row r="36" spans="1:14">
      <c r="A36" s="183">
        <v>24</v>
      </c>
      <c r="B36" s="184" t="s">
        <v>384</v>
      </c>
      <c r="C36" s="181">
        <v>3177</v>
      </c>
      <c r="D36" s="256">
        <f t="shared" si="1"/>
        <v>9099</v>
      </c>
      <c r="E36" s="181">
        <f>1200+337+60</f>
        <v>1597</v>
      </c>
      <c r="F36" s="181">
        <f>129+450</f>
        <v>579</v>
      </c>
      <c r="G36" s="181">
        <v>643</v>
      </c>
      <c r="H36" s="181">
        <v>5690</v>
      </c>
      <c r="I36" s="181">
        <v>590</v>
      </c>
      <c r="J36" s="181"/>
      <c r="K36" s="181"/>
      <c r="L36" s="181">
        <v>9099</v>
      </c>
      <c r="M36" s="25">
        <v>2148</v>
      </c>
      <c r="N36" s="24">
        <f t="shared" si="2"/>
        <v>6280</v>
      </c>
    </row>
    <row r="37" spans="1:14">
      <c r="A37" s="183">
        <v>25</v>
      </c>
      <c r="B37" s="184" t="s">
        <v>385</v>
      </c>
      <c r="C37" s="181">
        <v>8649</v>
      </c>
      <c r="D37" s="256">
        <f t="shared" si="1"/>
        <v>10022</v>
      </c>
      <c r="E37" s="181">
        <f>2500+1006+200</f>
        <v>3706</v>
      </c>
      <c r="F37" s="181">
        <f>805+600</f>
        <v>1405</v>
      </c>
      <c r="G37" s="181">
        <v>662</v>
      </c>
      <c r="H37" s="181">
        <v>3644</v>
      </c>
      <c r="I37" s="181">
        <v>605</v>
      </c>
      <c r="J37" s="181"/>
      <c r="K37" s="181"/>
      <c r="L37" s="181">
        <v>10022</v>
      </c>
      <c r="M37" s="25">
        <v>5160</v>
      </c>
      <c r="N37" s="24">
        <f t="shared" si="2"/>
        <v>4249</v>
      </c>
    </row>
    <row r="38" spans="1:14">
      <c r="A38" s="183">
        <v>26</v>
      </c>
      <c r="B38" s="184" t="s">
        <v>428</v>
      </c>
      <c r="C38" s="181">
        <v>6030</v>
      </c>
      <c r="D38" s="256">
        <f t="shared" si="1"/>
        <v>9282</v>
      </c>
      <c r="E38" s="181">
        <f>1000+387+110</f>
        <v>1497</v>
      </c>
      <c r="F38" s="181">
        <f>400+1000</f>
        <v>1400</v>
      </c>
      <c r="G38" s="181">
        <v>626</v>
      </c>
      <c r="H38" s="181">
        <v>5104</v>
      </c>
      <c r="I38" s="181">
        <v>655</v>
      </c>
      <c r="J38" s="181"/>
      <c r="K38" s="181"/>
      <c r="L38" s="181">
        <v>9282</v>
      </c>
      <c r="M38" s="25">
        <v>3297</v>
      </c>
      <c r="N38" s="24">
        <f t="shared" si="2"/>
        <v>5759</v>
      </c>
    </row>
    <row r="39" spans="1:14">
      <c r="A39" s="183">
        <v>27</v>
      </c>
      <c r="B39" s="184" t="s">
        <v>387</v>
      </c>
      <c r="C39" s="181">
        <v>17735</v>
      </c>
      <c r="D39" s="256">
        <f t="shared" si="1"/>
        <v>11774</v>
      </c>
      <c r="E39" s="181">
        <f>5000+2375+120</f>
        <v>7495</v>
      </c>
      <c r="F39" s="181">
        <f>816+2500</f>
        <v>3316</v>
      </c>
      <c r="G39" s="181">
        <v>753</v>
      </c>
      <c r="H39" s="181">
        <v>0</v>
      </c>
      <c r="I39" s="181">
        <v>210</v>
      </c>
      <c r="J39" s="181"/>
      <c r="K39" s="181"/>
      <c r="L39" s="181">
        <v>11774</v>
      </c>
      <c r="M39" s="25">
        <v>10518</v>
      </c>
      <c r="N39" s="24">
        <f t="shared" si="2"/>
        <v>210</v>
      </c>
    </row>
    <row r="40" spans="1:14">
      <c r="A40" s="183">
        <v>28</v>
      </c>
      <c r="B40" s="184" t="s">
        <v>388</v>
      </c>
      <c r="C40" s="181">
        <v>5345</v>
      </c>
      <c r="D40" s="256">
        <f t="shared" si="1"/>
        <v>9000</v>
      </c>
      <c r="E40" s="181">
        <f>1500+711+150</f>
        <v>2361</v>
      </c>
      <c r="F40" s="181">
        <f>300+700</f>
        <v>1000</v>
      </c>
      <c r="G40" s="181">
        <v>614</v>
      </c>
      <c r="H40" s="181">
        <v>4775</v>
      </c>
      <c r="I40" s="181">
        <v>250</v>
      </c>
      <c r="J40" s="181"/>
      <c r="K40" s="181"/>
      <c r="L40" s="181">
        <v>9000</v>
      </c>
      <c r="M40" s="25">
        <v>3494</v>
      </c>
      <c r="N40" s="24">
        <f t="shared" si="2"/>
        <v>5025</v>
      </c>
    </row>
    <row r="41" spans="1:14">
      <c r="A41" s="183">
        <v>29</v>
      </c>
      <c r="B41" s="184" t="s">
        <v>389</v>
      </c>
      <c r="C41" s="181">
        <v>10448</v>
      </c>
      <c r="D41" s="256">
        <f t="shared" si="1"/>
        <v>10704</v>
      </c>
      <c r="E41" s="181">
        <f>2900+1487+100</f>
        <v>4487</v>
      </c>
      <c r="F41" s="181">
        <f>695+1000</f>
        <v>1695</v>
      </c>
      <c r="G41" s="181">
        <v>731</v>
      </c>
      <c r="H41" s="181">
        <v>3541</v>
      </c>
      <c r="I41" s="181">
        <v>250</v>
      </c>
      <c r="J41" s="181"/>
      <c r="K41" s="181"/>
      <c r="L41" s="181">
        <v>10704</v>
      </c>
      <c r="M41" s="25">
        <v>7665</v>
      </c>
      <c r="N41" s="24">
        <f t="shared" si="2"/>
        <v>3791</v>
      </c>
    </row>
    <row r="42" spans="1:14">
      <c r="A42" s="183">
        <v>30</v>
      </c>
      <c r="B42" s="184" t="s">
        <v>390</v>
      </c>
      <c r="C42" s="181">
        <v>1310</v>
      </c>
      <c r="D42" s="256">
        <f t="shared" si="1"/>
        <v>7654</v>
      </c>
      <c r="E42" s="181">
        <f>100+30</f>
        <v>130</v>
      </c>
      <c r="F42" s="181">
        <f>19+400</f>
        <v>419</v>
      </c>
      <c r="G42" s="181">
        <v>498</v>
      </c>
      <c r="H42" s="181">
        <v>6047</v>
      </c>
      <c r="I42" s="181">
        <v>560</v>
      </c>
      <c r="J42" s="181"/>
      <c r="K42" s="181"/>
      <c r="L42" s="181">
        <v>7654</v>
      </c>
      <c r="M42" s="25">
        <v>757</v>
      </c>
      <c r="N42" s="24">
        <f t="shared" si="2"/>
        <v>6607</v>
      </c>
    </row>
  </sheetData>
  <mergeCells count="13">
    <mergeCell ref="A2:B2"/>
    <mergeCell ref="A3:B3"/>
    <mergeCell ref="O12:S12"/>
    <mergeCell ref="O13:S13"/>
    <mergeCell ref="L8:L10"/>
    <mergeCell ref="A5:L5"/>
    <mergeCell ref="A6:L6"/>
    <mergeCell ref="A8:A10"/>
    <mergeCell ref="B8:B10"/>
    <mergeCell ref="C8:C10"/>
    <mergeCell ref="D9:D10"/>
    <mergeCell ref="E9:F9"/>
    <mergeCell ref="D8:K8"/>
  </mergeCells>
  <phoneticPr fontId="5" type="noConversion"/>
  <printOptions horizontalCentered="1"/>
  <pageMargins left="0.5" right="0.5" top="0.75" bottom="0.5" header="0.3" footer="0.5"/>
  <pageSetup paperSize="9" orientation="landscape" r:id="rId1"/>
  <headerFooter alignWithMargins="0">
    <oddHeader>&amp;C&amp;P/&amp;N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3575D-8D7E-439B-8E02-5E73E7C31D8E}"/>
</file>

<file path=customXml/itemProps2.xml><?xml version="1.0" encoding="utf-8"?>
<ds:datastoreItem xmlns:ds="http://schemas.openxmlformats.org/officeDocument/2006/customXml" ds:itemID="{277E3520-23B1-44EA-BC36-B76CA4FFA34E}"/>
</file>

<file path=customXml/itemProps3.xml><?xml version="1.0" encoding="utf-8"?>
<ds:datastoreItem xmlns:ds="http://schemas.openxmlformats.org/officeDocument/2006/customXml" ds:itemID="{A40D1A32-A901-4B3F-B1F1-2CC397F62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Biểu số 81 CK-NSNN</vt:lpstr>
      <vt:lpstr>Biểu số 82 CK-NSNN</vt:lpstr>
      <vt:lpstr>Biểu số 83 CK-NSNN</vt:lpstr>
      <vt:lpstr>Biểu số 84 CK-NSNN</vt:lpstr>
      <vt:lpstr>Biểu số 85 CK-NSNN</vt:lpstr>
      <vt:lpstr>Biểu số 86 CK-NSNN</vt:lpstr>
      <vt:lpstr>Biểu số 87 CK-XDCB</vt:lpstr>
      <vt:lpstr>Biểu số 88 CK-NSNN- HCSN</vt:lpstr>
      <vt:lpstr>Biểu số 89 CK-NSNN-NSX</vt:lpstr>
      <vt:lpstr>Biểu số 90 CK-NSNN-NSX</vt:lpstr>
      <vt:lpstr>Biêu số 92 CK-NSNN</vt:lpstr>
      <vt:lpstr>'Biểu số 86 CK-NSNN'!Print_Titles</vt:lpstr>
      <vt:lpstr>'Biểu số 88 CK-NSNN- HCSN'!Print_Titles</vt:lpstr>
      <vt:lpstr>'Biểu số 89 CK-NSNN-NSX'!Print_Titles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</cp:lastModifiedBy>
  <cp:lastPrinted>2024-01-10T08:17:21Z</cp:lastPrinted>
  <dcterms:created xsi:type="dcterms:W3CDTF">2017-10-06T07:00:36Z</dcterms:created>
  <dcterms:modified xsi:type="dcterms:W3CDTF">2024-01-10T08:17:29Z</dcterms:modified>
</cp:coreProperties>
</file>